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6.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https://aptimcorp-my.sharepoint.com/personal/spencer_kurtz_aptim_com/Documents/Desktop/ELL Program Files/Program Template Docs &amp; Calculators/2025 Template Calculators/"/>
    </mc:Choice>
  </mc:AlternateContent>
  <xr:revisionPtr revIDLastSave="85" documentId="8_{878B81CC-762B-4DC8-909A-516FC5443A7F}" xr6:coauthVersionLast="47" xr6:coauthVersionMax="47" xr10:uidLastSave="{3A3235DE-789A-4F8D-B8A1-E9981AA5E1D8}"/>
  <workbookProtection workbookAlgorithmName="SHA-512" workbookHashValue="bdtAHpXIYUwg9HIpXDOt5b1qCOvGa0ULRXyXyUOfxKDwbC7iXXnncCjqfLoyXqM1k87bThaIPPnNoalRr880JA==" workbookSaltValue="STRHLC3/q2l4x9hUO3YqFg==" workbookSpinCount="100000" lockStructure="1"/>
  <bookViews>
    <workbookView xWindow="28680" yWindow="-120" windowWidth="29040" windowHeight="15840" tabRatio="777" xr2:uid="{00000000-000D-0000-FFFF-FFFF00000000}"/>
  </bookViews>
  <sheets>
    <sheet name="Fillable Application &amp; Instruct" sheetId="39" r:id="rId1"/>
    <sheet name="Equipment qualifications" sheetId="4" r:id="rId2"/>
    <sheet name="Summary" sheetId="23" r:id="rId3"/>
    <sheet name="Int. LPD" sheetId="24" r:id="rId4"/>
    <sheet name="Ext. LPD" sheetId="27" r:id="rId5"/>
    <sheet name="HVAC" sheetId="28" r:id="rId6"/>
    <sheet name="Other" sheetId="31" r:id="rId7"/>
    <sheet name="Completion notice" sheetId="36" r:id="rId8"/>
    <sheet name="QC" sheetId="35" state="hidden" r:id="rId9"/>
    <sheet name="Printable application" sheetId="40" state="hidden" r:id="rId10"/>
    <sheet name="Lookups" sheetId="33" state="hidden" r:id="rId11"/>
    <sheet name="Savings Lookups" sheetId="34" state="hidden" r:id="rId12"/>
    <sheet name="Change Log" sheetId="37" state="hidden" r:id="rId13"/>
  </sheets>
  <definedNames>
    <definedName name="ActiveStorage">Lookups!$K$83:$K$84</definedName>
    <definedName name="Atrium">Lookups!$K$66:$K$67</definedName>
    <definedName name="AudiencesSeatingArea">Lookups!$K$56:$K$65</definedName>
    <definedName name="AutomatedTellerMachinesandNightDepositories">Lookups!$K$212:$K$213</definedName>
    <definedName name="Automotive">Lookups!$K$114</definedName>
    <definedName name="BankOffice">Lookups!$K$124</definedName>
    <definedName name="BuildingEntrancesandExits">Lookups!$K$204:$K$205</definedName>
    <definedName name="BuildingFacades">Lookups!$K$210:$K$211</definedName>
    <definedName name="BuildingGrounds">Lookups!$K$196:$K$203</definedName>
    <definedName name="CanopiesandOverhangs">Lookups!$K$206:$K$207</definedName>
    <definedName name="ClassroomLectureTraining">Lookups!$K$50:$K$51</definedName>
    <definedName name="ConventionCenter">Lookups!$K$98</definedName>
    <definedName name="CorridorTransition">Lookups!$K$79:$K$81</definedName>
    <definedName name="CourthousePoliceStationPenitentiary">Lookups!$K$92:$K$94</definedName>
    <definedName name="DiningArea">Lookups!$K$70:$K$74</definedName>
    <definedName name="Dormitory">Lookups!$K$121</definedName>
    <definedName name="DressingLockerFittingRoom">Lookups!$K$78</definedName>
    <definedName name="DriveupWindowsatFastFoodRestaurants">Lookups!$K$216</definedName>
    <definedName name="ElectricalMechanical">Lookups!$K$87</definedName>
    <definedName name="EntrancesandGatehouseInspectionStationsatGuardedFacilities">Lookups!$K$214</definedName>
    <definedName name="FireStations">Lookups!$K$95:$K$96</definedName>
    <definedName name="FoodPreparation">Lookups!$K$75</definedName>
    <definedName name="GymnasiumExerciseCenter">Lookups!$K$90:$K$91</definedName>
    <definedName name="High_Temp">Lookups!$AA$3:$AA$5</definedName>
    <definedName name="Hospital">Lookups!$K$102:$K$113</definedName>
    <definedName name="HotelMotelGuestRooms">Lookups!$K$120</definedName>
    <definedName name="InactiveStorage">Lookups!$K$85:$K$86</definedName>
    <definedName name="Input_AvgkWhRate" localSheetId="0">0.09</definedName>
    <definedName name="Input_BldgType">'Fillable Application &amp; Instruct'!$F$20</definedName>
    <definedName name="Input_CurrentPhase">'Fillable Application &amp; Instruct'!$F$22</definedName>
    <definedName name="Input_HVACBldgType">HVAC!$G$1</definedName>
    <definedName name="Input_HVACType">'Fillable Application &amp; Instruct'!$F$16</definedName>
    <definedName name="Input_ProgramType">'Fillable Application &amp; Instruct'!$F$23</definedName>
    <definedName name="Input_ProjectNumber">QC!$B$1</definedName>
    <definedName name="Laboratory">Lookups!$K$76</definedName>
    <definedName name="Library">Lookups!$K$99:$K$101</definedName>
    <definedName name="List_BuildingAreaMethod">Lookups!$J$4:$J$36</definedName>
    <definedName name="List_BuildingTypes">Lookups!$J$143:$J$169</definedName>
    <definedName name="List_ConvectionOven">Lookups!$AA$8:$AA$9</definedName>
    <definedName name="List_CurrentPhase">Lookups!$B$43:$B$44</definedName>
    <definedName name="List_CurtainType">Lookups!$Y$31:$Y$37</definedName>
    <definedName name="List_ExtLtgType">Lookups!$J$222:$J$232</definedName>
    <definedName name="List_HVACBldgTypes">Lookups!$Q$16:$Q$27</definedName>
    <definedName name="List_IntLPDMethods">Lookups!$J$40:$J$41</definedName>
    <definedName name="List_LightingControls">Lookups!$J$237:$J$244</definedName>
    <definedName name="List_Lobby">Lookups!$K$52:$K$55</definedName>
    <definedName name="List_LowFlowBldgTypes">Lookups!$AD$3:$AD$10</definedName>
    <definedName name="List_LtgIEF">Lookups!$J$174:$J$180</definedName>
    <definedName name="List_ProgramType">Lookups!$B$47:$B$48</definedName>
    <definedName name="List_PRSV">Lookups!$AD$13:$AD$18</definedName>
    <definedName name="List_RefrCaseType">Lookups!$Y$7:$Y$12</definedName>
    <definedName name="List_Refrigeration">Lookups!$Y$3:$Y$4</definedName>
    <definedName name="List_RefrSizes">Lookups!$Y$21:$Y$24</definedName>
    <definedName name="List_Showerhead">Lookups!$AD$21:$AD$26</definedName>
    <definedName name="List_SpacebySpaceMethod">Lookups!$M$4:$M$43</definedName>
    <definedName name="List_StripCurtainBaseline">Lookups!$Y$40:$Y$42</definedName>
    <definedName name="List_StripCurtainsBuildings">Lookups!$Y$15:$Y$18</definedName>
    <definedName name="LoadingAreasforEmergencyServiceVehicles">Lookups!$K$215</definedName>
    <definedName name="Lobby">Lookups!$K$52:$K$55</definedName>
    <definedName name="LoungeRecreation">Lookups!$K$68:$K$69</definedName>
    <definedName name="Low_Temp">Lookups!$AB$3:$AB$4</definedName>
    <definedName name="Manufacturing">Lookups!$K$115:$K$119</definedName>
    <definedName name="Office">Lookups!$K$48:$K$49</definedName>
    <definedName name="OutdoorSales">Lookups!$K$208:$K$209</definedName>
    <definedName name="ParkingGarage">Lookups!$K$135</definedName>
    <definedName name="ParkingNear24hourRetailEntrances">Lookups!$K$217</definedName>
    <definedName name="PostOffice">Lookups!$K$97</definedName>
    <definedName name="_xlnm.Print_Area" localSheetId="7">'Completion notice'!$A$1:$E$52</definedName>
    <definedName name="_xlnm.Print_Area" localSheetId="0">'Fillable Application &amp; Instruct'!$A$6:$G$47</definedName>
    <definedName name="ReligiousBuilding">Lookups!$K$125:$K$126</definedName>
    <definedName name="Restrooms">Lookups!$K$77</definedName>
    <definedName name="Retail">Lookups!$K$127:$K$128</definedName>
    <definedName name="SalesAreaAccentLighting">Lookups!$J$89</definedName>
    <definedName name="SportsArena">Lookups!$K$129:$K$132</definedName>
    <definedName name="Stairs">Lookups!$K$82</definedName>
    <definedName name="Subtotal_OtherCosts">SUM(Summary!$C$10:$C$12)</definedName>
    <definedName name="Table_Aerators">'Savings Lookups'!$U$2:$W$10</definedName>
    <definedName name="Table_ASHC">'Savings Lookups'!$H$11:$J$14</definedName>
    <definedName name="Table_ChillerFactors">Lookups!$Q$30:$S$40</definedName>
    <definedName name="Table_Chillers">'Savings Lookups'!$B$14:$D$23</definedName>
    <definedName name="Table_CombinationOven">'Savings Lookups'!$N$33:$P$35</definedName>
    <definedName name="Table_ConvectionOven">'Savings Lookups'!$N$28:$P$30</definedName>
    <definedName name="Table_Dishwashers">'Savings Lookups'!$N$2:$S$25</definedName>
    <definedName name="Table_ECMHVACFan">'Savings Lookups'!$B$26:$D$26</definedName>
    <definedName name="Table_ECMRefrFan">'Savings Lookups'!$H$2:$J$4</definedName>
    <definedName name="Table_EFLH">Lookups!$Q$15:$T$27</definedName>
    <definedName name="Table_ESRefrigerators">'Savings Lookups'!$H$17:$L$25</definedName>
    <definedName name="Table_EvapFanControls">'Savings Lookups'!$H$6:$J$9</definedName>
    <definedName name="Table_GREM">'Savings Lookups'!$B$28:$D$29</definedName>
    <definedName name="Table_IceMaker">'Savings Lookups'!$N$44:$P$50</definedName>
    <definedName name="Table_kWhCost">Lookups!$J$188:$K$190</definedName>
    <definedName name="Table_LtgControlFactors">Lookups!$J$236:$K$244</definedName>
    <definedName name="Table_LtgFactors">Lookups!$J$141:$L$169</definedName>
    <definedName name="Table_LtgIEF">Lookups!$J$173:$L$180</definedName>
    <definedName name="Table_MeasureNumbers">Lookups!$F$2:$H$40</definedName>
    <definedName name="Table_Measures">Lookups!$B$2:$G$40</definedName>
    <definedName name="Table_PRSV">'Savings Lookups'!$U$43:$W$49</definedName>
    <definedName name="Table_RTUAC">'Savings Lookups'!$B$2:$D$6</definedName>
    <definedName name="Table_RTUFactors">Lookups!$Q$3:$T$13</definedName>
    <definedName name="Table_RTUHP">'Savings Lookups'!$B$8:$F$12</definedName>
    <definedName name="Table_Showerhead">'Savings Lookups'!$U$78:$W$84</definedName>
    <definedName name="Table_SpacebySpaceMethod">Lookups!$J$47:$L$138</definedName>
    <definedName name="Table_SteamCooker">'Savings Lookups'!$N$37:$P$41</definedName>
    <definedName name="Table_WholeBuildingMethod">Lookups!$J$3:$K$36</definedName>
    <definedName name="Transportation">Lookups!$K$136:$K$138</definedName>
    <definedName name="UncoveredParkingAreas">Lookups!$K$195</definedName>
    <definedName name="Value_ExitSign_BaselineW">25.1</definedName>
    <definedName name="Value_ExitSign_LEDW">3</definedName>
    <definedName name="Value_ExtLtgAOH">Lookups!$K$158</definedName>
    <definedName name="Value_ExtLtgCF">Lookups!$L$158</definedName>
    <definedName name="Value_LtgControls_CF">0.26</definedName>
    <definedName name="Value_Max_Incentive">QC!$C$33</definedName>
    <definedName name="Warehouse">Lookups!$K$133:$K$134</definedName>
    <definedName name="Workshop">Lookups!$K$88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6" i="39" l="1"/>
  <c r="J12" i="27" l="1" a="1"/>
  <c r="J12" i="27" s="1"/>
  <c r="J10" i="27" a="1"/>
  <c r="J10" i="27" s="1"/>
  <c r="J11" i="27" a="1"/>
  <c r="J11" i="27" s="1"/>
  <c r="J13" i="27" a="1"/>
  <c r="J13" i="27" s="1"/>
  <c r="L12" i="27" a="1"/>
  <c r="L12" i="27" s="1"/>
  <c r="M12" i="27" s="1"/>
  <c r="L13" i="27" a="1"/>
  <c r="L13" i="27" s="1"/>
  <c r="M13" i="27" s="1"/>
  <c r="L11" i="27" a="1"/>
  <c r="L11" i="27" s="1"/>
  <c r="M11" i="27" s="1"/>
  <c r="L10" i="27" a="1"/>
  <c r="L10" i="27" s="1"/>
  <c r="L9" i="27" a="1"/>
  <c r="L9" i="27" s="1"/>
  <c r="M9" i="27" s="1"/>
  <c r="B3" i="27"/>
  <c r="G3" i="27" a="1"/>
  <c r="G3" i="27" s="1"/>
  <c r="J3" i="24"/>
  <c r="M3" i="24" a="1"/>
  <c r="M3" i="24" s="1"/>
  <c r="B3" i="24"/>
  <c r="C9" i="34" l="1"/>
  <c r="C3" i="34"/>
  <c r="L3" i="28" l="1"/>
  <c r="B16" i="34"/>
  <c r="B17" i="34"/>
  <c r="B18" i="34"/>
  <c r="B19" i="34"/>
  <c r="B20" i="34"/>
  <c r="B21" i="34"/>
  <c r="B22" i="34"/>
  <c r="B23" i="34"/>
  <c r="B15" i="34"/>
  <c r="C15" i="34" s="1"/>
  <c r="B10" i="34"/>
  <c r="B11" i="34"/>
  <c r="B12" i="34"/>
  <c r="B9" i="34"/>
  <c r="B4" i="34"/>
  <c r="B5" i="34"/>
  <c r="B6" i="34"/>
  <c r="B3" i="34"/>
  <c r="G12" i="27" a="1"/>
  <c r="G12" i="27" s="1"/>
  <c r="G11" i="27" a="1"/>
  <c r="G11" i="27" s="1"/>
  <c r="T13" i="33" l="1"/>
  <c r="T12" i="33"/>
  <c r="T11" i="33"/>
  <c r="N12" i="28"/>
  <c r="C6" i="34" l="1"/>
  <c r="R13" i="33"/>
  <c r="R12" i="33"/>
  <c r="R11" i="33"/>
  <c r="K1" i="24" l="1"/>
  <c r="B11" i="31"/>
  <c r="M4" i="24" l="1" a="1"/>
  <c r="M4" i="24" s="1"/>
  <c r="M5" i="24" a="1"/>
  <c r="M5" i="24" s="1"/>
  <c r="M6" i="24" a="1"/>
  <c r="M6" i="24" s="1"/>
  <c r="M7" i="24" a="1"/>
  <c r="M7" i="24" s="1"/>
  <c r="M8" i="24" a="1"/>
  <c r="M8" i="24" s="1"/>
  <c r="M9" i="24" a="1"/>
  <c r="M9" i="24" s="1"/>
  <c r="M10" i="24" a="1"/>
  <c r="M10" i="24" s="1"/>
  <c r="M11" i="24" a="1"/>
  <c r="M11" i="24" s="1"/>
  <c r="M12" i="24" a="1"/>
  <c r="M12" i="24" s="1"/>
  <c r="M13" i="24" a="1"/>
  <c r="M13" i="24" s="1"/>
  <c r="M14" i="24" a="1"/>
  <c r="M14" i="24" s="1"/>
  <c r="M15" i="24" a="1"/>
  <c r="M15" i="24" s="1"/>
  <c r="M16" i="24" a="1"/>
  <c r="M16" i="24" s="1"/>
  <c r="M17" i="24" a="1"/>
  <c r="M17" i="24" s="1"/>
  <c r="J4" i="24"/>
  <c r="J13" i="24"/>
  <c r="B33" i="35"/>
  <c r="C33" i="35" s="1"/>
  <c r="I11" i="40"/>
  <c r="A29" i="40" l="1"/>
  <c r="F39" i="40"/>
  <c r="F19" i="40"/>
  <c r="B35" i="40"/>
  <c r="B13" i="40"/>
  <c r="K5" i="28"/>
  <c r="C6" i="36"/>
  <c r="C5" i="36"/>
  <c r="C9" i="36"/>
  <c r="C8" i="36"/>
  <c r="I22" i="40"/>
  <c r="I20" i="40"/>
  <c r="E24" i="40"/>
  <c r="A20" i="40"/>
  <c r="E9" i="40"/>
  <c r="E11" i="40"/>
  <c r="I15" i="40"/>
  <c r="G13" i="40"/>
  <c r="I43" i="40"/>
  <c r="I41" i="40"/>
  <c r="I39" i="40"/>
  <c r="I37" i="40"/>
  <c r="I35" i="40"/>
  <c r="I33" i="40"/>
  <c r="I24" i="40"/>
  <c r="I17" i="40"/>
  <c r="I13" i="40"/>
  <c r="I9" i="40"/>
  <c r="I7" i="40"/>
  <c r="E39" i="40"/>
  <c r="E37" i="40"/>
  <c r="E35" i="40"/>
  <c r="E33" i="40"/>
  <c r="E31" i="40"/>
  <c r="E29" i="40"/>
  <c r="E26" i="40"/>
  <c r="E22" i="40"/>
  <c r="E19" i="40"/>
  <c r="E17" i="40"/>
  <c r="E15" i="40"/>
  <c r="E13" i="40"/>
  <c r="E7" i="40"/>
  <c r="A39" i="40"/>
  <c r="A37" i="40"/>
  <c r="A35" i="40"/>
  <c r="A33" i="40"/>
  <c r="A31" i="40"/>
  <c r="A27" i="40"/>
  <c r="A25" i="40"/>
  <c r="A22" i="40"/>
  <c r="A18" i="40"/>
  <c r="A13" i="40"/>
  <c r="A11" i="40"/>
  <c r="A9" i="40"/>
  <c r="A7" i="40"/>
  <c r="C22" i="36"/>
  <c r="C21" i="36"/>
  <c r="C20" i="36"/>
  <c r="AA19" i="34" l="1"/>
  <c r="AA96" i="34"/>
  <c r="AA5" i="34"/>
  <c r="B9" i="31"/>
  <c r="I14" i="34" l="1"/>
  <c r="J14" i="34"/>
  <c r="B4" i="24" l="1"/>
  <c r="B5" i="24"/>
  <c r="B6" i="24"/>
  <c r="B7" i="24"/>
  <c r="B8" i="24"/>
  <c r="B9" i="24"/>
  <c r="B10" i="24"/>
  <c r="B11" i="24"/>
  <c r="B12" i="24"/>
  <c r="B13" i="24"/>
  <c r="B14" i="24"/>
  <c r="B15" i="24"/>
  <c r="B16" i="24"/>
  <c r="B17" i="24"/>
  <c r="B4" i="27"/>
  <c r="B5" i="27"/>
  <c r="B6" i="27"/>
  <c r="B7" i="27"/>
  <c r="B8" i="27"/>
  <c r="B9" i="27"/>
  <c r="B10" i="27"/>
  <c r="B11" i="27"/>
  <c r="B12" i="27"/>
  <c r="B13" i="27"/>
  <c r="B14" i="27"/>
  <c r="B15" i="27"/>
  <c r="B16" i="27"/>
  <c r="B17" i="27"/>
  <c r="B18" i="27"/>
  <c r="B3" i="28"/>
  <c r="B23" i="28"/>
  <c r="B22" i="28"/>
  <c r="C16" i="34"/>
  <c r="N13" i="28" s="1"/>
  <c r="D16" i="34"/>
  <c r="P13" i="28" s="1"/>
  <c r="C17" i="34"/>
  <c r="N14" i="28" s="1"/>
  <c r="D17" i="34"/>
  <c r="P14" i="28" s="1"/>
  <c r="C18" i="34"/>
  <c r="N15" i="28" s="1"/>
  <c r="D18" i="34"/>
  <c r="P15" i="28" s="1"/>
  <c r="C19" i="34"/>
  <c r="N16" i="28" s="1"/>
  <c r="D19" i="34"/>
  <c r="P16" i="28" s="1"/>
  <c r="C20" i="34"/>
  <c r="N17" i="28" s="1"/>
  <c r="D20" i="34"/>
  <c r="P17" i="28" s="1"/>
  <c r="C21" i="34"/>
  <c r="N18" i="28" s="1"/>
  <c r="D21" i="34"/>
  <c r="P18" i="28" s="1"/>
  <c r="C22" i="34"/>
  <c r="N19" i="28" s="1"/>
  <c r="D22" i="34"/>
  <c r="P19" i="28" s="1"/>
  <c r="C23" i="34"/>
  <c r="N20" i="28" s="1"/>
  <c r="D23" i="34"/>
  <c r="P20" i="28" s="1"/>
  <c r="D15" i="34"/>
  <c r="P12" i="28" s="1"/>
  <c r="F9" i="34"/>
  <c r="D4" i="34"/>
  <c r="D5" i="34"/>
  <c r="D6" i="34"/>
  <c r="D3" i="34"/>
  <c r="C4" i="34" a="1"/>
  <c r="C4" i="34" s="1"/>
  <c r="N6" i="28" s="1"/>
  <c r="C5" i="34" a="1"/>
  <c r="C5" i="34" s="1"/>
  <c r="N3" i="28"/>
  <c r="H1" i="31"/>
  <c r="I11" i="31"/>
  <c r="J11" i="31"/>
  <c r="K11" i="31" s="1"/>
  <c r="B12" i="31"/>
  <c r="I12" i="31"/>
  <c r="J12" i="31"/>
  <c r="K12" i="31" s="1"/>
  <c r="O12" i="31" s="1"/>
  <c r="B13" i="31"/>
  <c r="I13" i="31"/>
  <c r="J13" i="31"/>
  <c r="K13" i="31" s="1"/>
  <c r="O13" i="31" s="1"/>
  <c r="B14" i="31"/>
  <c r="I14" i="31"/>
  <c r="J14" i="31"/>
  <c r="K14" i="31" s="1"/>
  <c r="O14" i="31" s="1"/>
  <c r="B15" i="31"/>
  <c r="I15" i="31"/>
  <c r="J15" i="31"/>
  <c r="K15" i="31" s="1"/>
  <c r="O15" i="31" s="1"/>
  <c r="B17" i="31"/>
  <c r="I17" i="31"/>
  <c r="J17" i="31"/>
  <c r="K17" i="31" s="1"/>
  <c r="O17" i="31" s="1"/>
  <c r="L17" i="31"/>
  <c r="M17" i="31" s="1"/>
  <c r="N17" i="31"/>
  <c r="B18" i="31"/>
  <c r="I18" i="31"/>
  <c r="J18" i="31"/>
  <c r="K18" i="31" s="1"/>
  <c r="O18" i="31" s="1"/>
  <c r="L18" i="31"/>
  <c r="M18" i="31" s="1"/>
  <c r="N18" i="31"/>
  <c r="B19" i="31"/>
  <c r="I19" i="31"/>
  <c r="J19" i="31"/>
  <c r="K19" i="31" s="1"/>
  <c r="O19" i="31" s="1"/>
  <c r="L19" i="31"/>
  <c r="M19" i="31" s="1"/>
  <c r="N19" i="31"/>
  <c r="B20" i="31"/>
  <c r="I20" i="31"/>
  <c r="J20" i="31"/>
  <c r="K20" i="31" s="1"/>
  <c r="O20" i="31" s="1"/>
  <c r="L20" i="31"/>
  <c r="M20" i="31" s="1"/>
  <c r="N20" i="31"/>
  <c r="B21" i="31"/>
  <c r="I21" i="31"/>
  <c r="J21" i="31"/>
  <c r="K21" i="31" s="1"/>
  <c r="O21" i="31" s="1"/>
  <c r="L21" i="31"/>
  <c r="M21" i="31" s="1"/>
  <c r="N21" i="31"/>
  <c r="B7" i="31"/>
  <c r="I7" i="31"/>
  <c r="J7" i="31"/>
  <c r="K7" i="31" s="1"/>
  <c r="L7" i="31"/>
  <c r="M7" i="31" s="1"/>
  <c r="N7" i="31"/>
  <c r="B8" i="31"/>
  <c r="I8" i="31"/>
  <c r="J8" i="31"/>
  <c r="K8" i="31" s="1"/>
  <c r="O8" i="31" s="1"/>
  <c r="L8" i="31"/>
  <c r="M8" i="31" s="1"/>
  <c r="N8" i="31"/>
  <c r="I9" i="31"/>
  <c r="J9" i="31"/>
  <c r="K9" i="31" s="1"/>
  <c r="O9" i="31" s="1"/>
  <c r="J5" i="31"/>
  <c r="J4" i="31"/>
  <c r="J3" i="31"/>
  <c r="L23" i="28"/>
  <c r="M23" i="28" s="1"/>
  <c r="Q23" i="28" s="1"/>
  <c r="L22" i="28"/>
  <c r="L20" i="28"/>
  <c r="L19" i="28"/>
  <c r="L18" i="28"/>
  <c r="L17" i="28"/>
  <c r="L16" i="28"/>
  <c r="L15" i="28"/>
  <c r="L14" i="28"/>
  <c r="L13" i="28"/>
  <c r="L12" i="28"/>
  <c r="L4" i="28"/>
  <c r="L5" i="28"/>
  <c r="L6" i="28"/>
  <c r="L7" i="28"/>
  <c r="L8" i="28"/>
  <c r="L9" i="28"/>
  <c r="L10" i="28"/>
  <c r="K23" i="28"/>
  <c r="N23" i="28"/>
  <c r="O23" i="28" s="1"/>
  <c r="P23" i="28"/>
  <c r="P20" i="31" l="1"/>
  <c r="P18" i="31"/>
  <c r="P21" i="31"/>
  <c r="P19" i="31"/>
  <c r="P17" i="31"/>
  <c r="O11" i="31"/>
  <c r="P8" i="31"/>
  <c r="O7" i="31"/>
  <c r="R23" i="28"/>
  <c r="P7" i="31" l="1"/>
  <c r="AA110" i="34" l="1"/>
  <c r="AA104" i="34"/>
  <c r="AA101" i="34"/>
  <c r="AA92" i="34"/>
  <c r="AA91" i="34"/>
  <c r="AA90" i="34"/>
  <c r="AA89" i="34"/>
  <c r="AA87" i="34"/>
  <c r="AA80" i="34"/>
  <c r="AA45" i="34"/>
  <c r="V49" i="34" s="1"/>
  <c r="H25" i="34"/>
  <c r="H24" i="34"/>
  <c r="H23" i="34"/>
  <c r="AA32" i="34"/>
  <c r="H22" i="34"/>
  <c r="H21" i="34"/>
  <c r="H20" i="34"/>
  <c r="AA29" i="34"/>
  <c r="H19" i="34"/>
  <c r="H18" i="34"/>
  <c r="O20" i="28"/>
  <c r="N25" i="34"/>
  <c r="N24" i="34"/>
  <c r="O17" i="28"/>
  <c r="N23" i="34"/>
  <c r="N22" i="34"/>
  <c r="O15" i="28"/>
  <c r="N21" i="34"/>
  <c r="O14" i="28"/>
  <c r="N20" i="34"/>
  <c r="N19" i="34"/>
  <c r="O12" i="28"/>
  <c r="N18" i="34"/>
  <c r="N17" i="34"/>
  <c r="N16" i="34"/>
  <c r="N15" i="34"/>
  <c r="AA14" i="34"/>
  <c r="N14" i="34"/>
  <c r="AC13" i="34"/>
  <c r="N13" i="34"/>
  <c r="N12" i="34"/>
  <c r="N11" i="34"/>
  <c r="N10" i="34"/>
  <c r="N9" i="34"/>
  <c r="N8" i="34"/>
  <c r="N7" i="34"/>
  <c r="N6" i="34"/>
  <c r="P6" i="28"/>
  <c r="O6" i="28"/>
  <c r="N5" i="34"/>
  <c r="P5" i="28"/>
  <c r="N5" i="28"/>
  <c r="O5" i="28" s="1"/>
  <c r="AA4" i="34"/>
  <c r="N4" i="34"/>
  <c r="P4" i="28"/>
  <c r="N4" i="28"/>
  <c r="O4" i="28" s="1"/>
  <c r="N3" i="34"/>
  <c r="P3" i="28"/>
  <c r="O3" i="28"/>
  <c r="D12" i="34"/>
  <c r="D11" i="34"/>
  <c r="D10" i="34"/>
  <c r="D9" i="34"/>
  <c r="E9" i="34" s="1"/>
  <c r="K5" i="31"/>
  <c r="O5" i="31" s="1"/>
  <c r="I5" i="31"/>
  <c r="B5" i="31"/>
  <c r="K4" i="31"/>
  <c r="I4" i="31"/>
  <c r="B4" i="31"/>
  <c r="K3" i="31"/>
  <c r="I3" i="31"/>
  <c r="B3" i="31"/>
  <c r="P22" i="28"/>
  <c r="N22" i="28"/>
  <c r="O22" i="28" s="1"/>
  <c r="M22" i="28"/>
  <c r="Q22" i="28" s="1"/>
  <c r="K22" i="28"/>
  <c r="M20" i="28"/>
  <c r="Q20" i="28" s="1"/>
  <c r="K20" i="28"/>
  <c r="B20" i="28"/>
  <c r="O19" i="28"/>
  <c r="M19" i="28"/>
  <c r="Q19" i="28" s="1"/>
  <c r="K19" i="28"/>
  <c r="B19" i="28"/>
  <c r="O18" i="28"/>
  <c r="M18" i="28"/>
  <c r="Q18" i="28" s="1"/>
  <c r="K18" i="28"/>
  <c r="B18" i="28"/>
  <c r="M17" i="28"/>
  <c r="Q17" i="28" s="1"/>
  <c r="K17" i="28"/>
  <c r="B17" i="28"/>
  <c r="O16" i="28"/>
  <c r="M16" i="28"/>
  <c r="Q16" i="28" s="1"/>
  <c r="K16" i="28"/>
  <c r="B16" i="28"/>
  <c r="M15" i="28"/>
  <c r="Q15" i="28" s="1"/>
  <c r="K15" i="28"/>
  <c r="B15" i="28"/>
  <c r="M14" i="28"/>
  <c r="Q14" i="28" s="1"/>
  <c r="K14" i="28"/>
  <c r="B14" i="28"/>
  <c r="O13" i="28"/>
  <c r="M13" i="28"/>
  <c r="Q13" i="28" s="1"/>
  <c r="K13" i="28"/>
  <c r="B13" i="28"/>
  <c r="M12" i="28"/>
  <c r="Q12" i="28" s="1"/>
  <c r="K12" i="28"/>
  <c r="B12" i="28"/>
  <c r="M10" i="28"/>
  <c r="Q10" i="28" s="1"/>
  <c r="K10" i="28"/>
  <c r="B10" i="28"/>
  <c r="M9" i="28"/>
  <c r="Q9" i="28" s="1"/>
  <c r="K9" i="28"/>
  <c r="B9" i="28"/>
  <c r="M8" i="28"/>
  <c r="Q8" i="28" s="1"/>
  <c r="K8" i="28"/>
  <c r="B8" i="28"/>
  <c r="M7" i="28"/>
  <c r="Q7" i="28" s="1"/>
  <c r="K7" i="28"/>
  <c r="B7" i="28"/>
  <c r="M6" i="28"/>
  <c r="Q6" i="28" s="1"/>
  <c r="K6" i="28"/>
  <c r="B6" i="28"/>
  <c r="M5" i="28"/>
  <c r="Q5" i="28" s="1"/>
  <c r="B5" i="28"/>
  <c r="M4" i="28"/>
  <c r="Q4" i="28" s="1"/>
  <c r="K4" i="28"/>
  <c r="B4" i="28"/>
  <c r="M3" i="28"/>
  <c r="K3" i="28"/>
  <c r="J1" i="28"/>
  <c r="C10" i="23" s="1"/>
  <c r="Q3" i="28" l="1"/>
  <c r="R3" i="28" s="1"/>
  <c r="M1" i="28"/>
  <c r="K1" i="31"/>
  <c r="C18" i="36"/>
  <c r="F11" i="34"/>
  <c r="C11" i="34"/>
  <c r="E11" i="34" s="1"/>
  <c r="F12" i="34"/>
  <c r="C12" i="34"/>
  <c r="E12" i="34" s="1"/>
  <c r="F10" i="34"/>
  <c r="P8" i="28" s="1"/>
  <c r="C10" i="34"/>
  <c r="E10" i="34" s="1"/>
  <c r="N8" i="28" s="1"/>
  <c r="L9" i="31"/>
  <c r="M9" i="31" s="1"/>
  <c r="P9" i="31" s="1"/>
  <c r="N9" i="31"/>
  <c r="L13" i="31"/>
  <c r="M13" i="31" s="1"/>
  <c r="P13" i="31" s="1"/>
  <c r="N13" i="31"/>
  <c r="N12" i="31"/>
  <c r="L12" i="31"/>
  <c r="M12" i="31" s="1"/>
  <c r="P12" i="31" s="1"/>
  <c r="L11" i="31"/>
  <c r="M11" i="31" s="1"/>
  <c r="P11" i="31" s="1"/>
  <c r="L15" i="31"/>
  <c r="M15" i="31" s="1"/>
  <c r="P15" i="31" s="1"/>
  <c r="N11" i="31"/>
  <c r="N15" i="31"/>
  <c r="L14" i="31"/>
  <c r="M14" i="31" s="1"/>
  <c r="P14" i="31" s="1"/>
  <c r="N14" i="31"/>
  <c r="O4" i="31"/>
  <c r="AA88" i="34"/>
  <c r="W81" i="34" s="1"/>
  <c r="V10" i="34"/>
  <c r="R15" i="28"/>
  <c r="O3" i="31"/>
  <c r="R5" i="28"/>
  <c r="R13" i="28"/>
  <c r="R22" i="28"/>
  <c r="R18" i="28"/>
  <c r="R20" i="28"/>
  <c r="R4" i="28"/>
  <c r="R14" i="28"/>
  <c r="R12" i="28"/>
  <c r="R16" i="28"/>
  <c r="R17" i="28"/>
  <c r="R19" i="28"/>
  <c r="V6" i="34"/>
  <c r="W3" i="34"/>
  <c r="W6" i="34"/>
  <c r="V9" i="34"/>
  <c r="V5" i="34"/>
  <c r="W44" i="34"/>
  <c r="W49" i="34"/>
  <c r="W5" i="34"/>
  <c r="V7" i="34"/>
  <c r="W10" i="34"/>
  <c r="W45" i="34"/>
  <c r="N5" i="31" s="1"/>
  <c r="W4" i="34"/>
  <c r="V3" i="34"/>
  <c r="R6" i="28"/>
  <c r="V8" i="34"/>
  <c r="W9" i="34"/>
  <c r="V47" i="34"/>
  <c r="W8" i="34"/>
  <c r="V45" i="34"/>
  <c r="L5" i="31" s="1"/>
  <c r="M5" i="31" s="1"/>
  <c r="P5" i="31" s="1"/>
  <c r="W47" i="34"/>
  <c r="V48" i="34"/>
  <c r="W48" i="34"/>
  <c r="V46" i="34"/>
  <c r="V4" i="34"/>
  <c r="W7" i="34"/>
  <c r="V44" i="34"/>
  <c r="W46" i="34"/>
  <c r="N10" i="28" l="1"/>
  <c r="O10" i="28" s="1"/>
  <c r="R10" i="28" s="1"/>
  <c r="N9" i="28"/>
  <c r="O9" i="28" s="1"/>
  <c r="R9" i="28" s="1"/>
  <c r="P9" i="28"/>
  <c r="P10" i="28"/>
  <c r="P7" i="28"/>
  <c r="N7" i="28"/>
  <c r="O7" i="28" s="1"/>
  <c r="R7" i="28" s="1"/>
  <c r="V82" i="34"/>
  <c r="V83" i="34"/>
  <c r="V84" i="34"/>
  <c r="W82" i="34"/>
  <c r="V81" i="34"/>
  <c r="N3" i="31"/>
  <c r="W80" i="34"/>
  <c r="N4" i="31" s="1"/>
  <c r="V79" i="34"/>
  <c r="W83" i="34"/>
  <c r="W79" i="34"/>
  <c r="L3" i="31"/>
  <c r="M3" i="31" s="1"/>
  <c r="P3" i="31" s="1"/>
  <c r="D10" i="23"/>
  <c r="O1" i="31"/>
  <c r="Q1" i="28"/>
  <c r="O8" i="28"/>
  <c r="W84" i="34"/>
  <c r="V80" i="34"/>
  <c r="L4" i="31" s="1"/>
  <c r="M4" i="31" s="1"/>
  <c r="P4" i="31" s="1"/>
  <c r="J5" i="24"/>
  <c r="J6" i="24"/>
  <c r="J7" i="24"/>
  <c r="J8" i="24"/>
  <c r="J9" i="24"/>
  <c r="J10" i="24"/>
  <c r="J11" i="24"/>
  <c r="J12" i="24"/>
  <c r="J14" i="24"/>
  <c r="J15" i="24"/>
  <c r="J16" i="24"/>
  <c r="J17" i="24"/>
  <c r="L13" i="24"/>
  <c r="Q13" i="24" s="1"/>
  <c r="L14" i="24"/>
  <c r="Q14" i="24" s="1"/>
  <c r="L15" i="24"/>
  <c r="Q15" i="24" s="1"/>
  <c r="L16" i="24"/>
  <c r="Q16" i="24" s="1"/>
  <c r="L17" i="24"/>
  <c r="Q17" i="24" s="1"/>
  <c r="L17" i="27" a="1"/>
  <c r="L17" i="27" s="1"/>
  <c r="M17" i="27" s="1"/>
  <c r="J4" i="27" a="1"/>
  <c r="J4" i="27" s="1"/>
  <c r="J5" i="27" a="1"/>
  <c r="J5" i="27" s="1"/>
  <c r="J6" i="27" a="1"/>
  <c r="J6" i="27" s="1"/>
  <c r="J7" i="27" a="1"/>
  <c r="J7" i="27" s="1"/>
  <c r="Q7" i="27" s="1"/>
  <c r="J8" i="27" a="1"/>
  <c r="J8" i="27" s="1"/>
  <c r="J9" i="27" a="1"/>
  <c r="J9" i="27" s="1"/>
  <c r="Q12" i="27"/>
  <c r="J14" i="27" a="1"/>
  <c r="J14" i="27" s="1"/>
  <c r="J15" i="27" a="1"/>
  <c r="J15" i="27" s="1"/>
  <c r="J16" i="27" a="1"/>
  <c r="J16" i="27" s="1"/>
  <c r="J17" i="27" a="1"/>
  <c r="J17" i="27" s="1"/>
  <c r="Q17" i="27" s="1"/>
  <c r="J18" i="27" a="1"/>
  <c r="J18" i="27" s="1"/>
  <c r="J3" i="27" a="1"/>
  <c r="J3" i="27" s="1"/>
  <c r="O3" i="27" s="1"/>
  <c r="G13" i="27" a="1"/>
  <c r="G13" i="27" s="1"/>
  <c r="K13" i="27"/>
  <c r="G14" i="27" a="1"/>
  <c r="G14" i="27" s="1"/>
  <c r="K14" i="27"/>
  <c r="L14" i="27" a="1"/>
  <c r="L14" i="27" s="1"/>
  <c r="M14" i="27" s="1"/>
  <c r="G15" i="27" a="1"/>
  <c r="G15" i="27" s="1"/>
  <c r="K15" i="27"/>
  <c r="L15" i="27" a="1"/>
  <c r="L15" i="27" s="1"/>
  <c r="M15" i="27" s="1"/>
  <c r="G16" i="27" a="1"/>
  <c r="G16" i="27" s="1"/>
  <c r="K16" i="27"/>
  <c r="L16" i="27" a="1"/>
  <c r="L16" i="27" s="1"/>
  <c r="M16" i="27" s="1"/>
  <c r="G17" i="27" a="1"/>
  <c r="G17" i="27" s="1"/>
  <c r="K17" i="27"/>
  <c r="G18" i="27" a="1"/>
  <c r="G18" i="27" s="1"/>
  <c r="K18" i="27"/>
  <c r="L18" i="27" a="1"/>
  <c r="L18" i="27" s="1"/>
  <c r="M18" i="27" s="1"/>
  <c r="G4" i="27" a="1"/>
  <c r="G4" i="27" s="1"/>
  <c r="K4" i="27"/>
  <c r="L4" i="27" a="1"/>
  <c r="L4" i="27" s="1"/>
  <c r="M4" i="27" s="1"/>
  <c r="G5" i="27" a="1"/>
  <c r="G5" i="27" s="1"/>
  <c r="K5" i="27"/>
  <c r="L5" i="27" a="1"/>
  <c r="L5" i="27" s="1"/>
  <c r="M5" i="27" s="1"/>
  <c r="G6" i="27" a="1"/>
  <c r="G6" i="27" s="1"/>
  <c r="K6" i="27"/>
  <c r="L6" i="27" a="1"/>
  <c r="L6" i="27" s="1"/>
  <c r="M6" i="27" s="1"/>
  <c r="G7" i="27" a="1"/>
  <c r="G7" i="27" s="1"/>
  <c r="K7" i="27"/>
  <c r="L7" i="27" a="1"/>
  <c r="L7" i="27" s="1"/>
  <c r="M7" i="27" s="1"/>
  <c r="G8" i="27" a="1"/>
  <c r="G8" i="27" s="1"/>
  <c r="K8" i="27"/>
  <c r="L8" i="27" a="1"/>
  <c r="L8" i="27" s="1"/>
  <c r="M8" i="27" s="1"/>
  <c r="G9" i="27" a="1"/>
  <c r="G9" i="27" s="1"/>
  <c r="K9" i="27"/>
  <c r="G10" i="27" a="1"/>
  <c r="G10" i="27" s="1"/>
  <c r="K10" i="27"/>
  <c r="M10" i="27"/>
  <c r="K11" i="27"/>
  <c r="K12" i="27"/>
  <c r="L3" i="27" a="1"/>
  <c r="L3" i="27" s="1"/>
  <c r="M3" i="27" s="1"/>
  <c r="K3" i="27"/>
  <c r="C11" i="23"/>
  <c r="H19" i="27" l="1"/>
  <c r="I19" i="27"/>
  <c r="H20" i="27"/>
  <c r="M19" i="27"/>
  <c r="P1" i="28"/>
  <c r="N1" i="28"/>
  <c r="O10" i="27"/>
  <c r="N10" i="27" s="1"/>
  <c r="R10" i="27" s="1"/>
  <c r="Q13" i="27"/>
  <c r="Q9" i="27"/>
  <c r="O8" i="27"/>
  <c r="N8" i="27" s="1"/>
  <c r="R8" i="27" s="1"/>
  <c r="Q11" i="27"/>
  <c r="N1" i="31"/>
  <c r="O14" i="24"/>
  <c r="N14" i="24" s="1"/>
  <c r="R14" i="24" s="1"/>
  <c r="N3" i="27"/>
  <c r="O6" i="27"/>
  <c r="N6" i="27" s="1"/>
  <c r="Q4" i="27"/>
  <c r="O4" i="27"/>
  <c r="P4" i="27" s="1"/>
  <c r="Q6" i="27"/>
  <c r="Q5" i="27"/>
  <c r="O15" i="27"/>
  <c r="N15" i="27" s="1"/>
  <c r="R15" i="27" s="1"/>
  <c r="Q3" i="27"/>
  <c r="C16" i="36"/>
  <c r="O15" i="24"/>
  <c r="P15" i="24" s="1"/>
  <c r="O14" i="27"/>
  <c r="N14" i="27" s="1"/>
  <c r="Q18" i="27"/>
  <c r="O13" i="24"/>
  <c r="N13" i="24" s="1"/>
  <c r="R13" i="24" s="1"/>
  <c r="O16" i="27"/>
  <c r="P16" i="27" s="1"/>
  <c r="O9" i="27"/>
  <c r="P9" i="27" s="1"/>
  <c r="O7" i="27"/>
  <c r="N7" i="27" s="1"/>
  <c r="R7" i="27" s="1"/>
  <c r="Q10" i="27"/>
  <c r="R8" i="28"/>
  <c r="O1" i="28"/>
  <c r="M1" i="31"/>
  <c r="P1" i="31" s="1"/>
  <c r="L1" i="31"/>
  <c r="O16" i="24"/>
  <c r="N16" i="24" s="1"/>
  <c r="R16" i="24" s="1"/>
  <c r="O17" i="27"/>
  <c r="P17" i="27" s="1"/>
  <c r="O13" i="27"/>
  <c r="P13" i="27" s="1"/>
  <c r="O5" i="27"/>
  <c r="P5" i="27" s="1"/>
  <c r="Q8" i="27"/>
  <c r="O12" i="27"/>
  <c r="N12" i="27" s="1"/>
  <c r="R12" i="27" s="1"/>
  <c r="O11" i="27"/>
  <c r="P11" i="27" s="1"/>
  <c r="O18" i="27"/>
  <c r="N18" i="27" s="1"/>
  <c r="R18" i="27" s="1"/>
  <c r="Q16" i="27"/>
  <c r="Q15" i="27"/>
  <c r="Q14" i="27"/>
  <c r="I20" i="27"/>
  <c r="M20" i="27"/>
  <c r="O17" i="24"/>
  <c r="P14" i="24" l="1"/>
  <c r="S14" i="24" s="1"/>
  <c r="G10" i="23"/>
  <c r="O19" i="27"/>
  <c r="N19" i="27" s="1"/>
  <c r="E10" i="23"/>
  <c r="D18" i="36" s="1"/>
  <c r="P8" i="27"/>
  <c r="S8" i="27" s="1"/>
  <c r="R6" i="27"/>
  <c r="N15" i="24"/>
  <c r="R15" i="24" s="1"/>
  <c r="S15" i="24" s="1"/>
  <c r="I1" i="27"/>
  <c r="C12" i="23" s="1"/>
  <c r="C13" i="23" s="1"/>
  <c r="N11" i="27"/>
  <c r="R11" i="27" s="1"/>
  <c r="S11" i="27" s="1"/>
  <c r="P13" i="24"/>
  <c r="S13" i="24" s="1"/>
  <c r="R1" i="28"/>
  <c r="I10" i="23" s="1"/>
  <c r="F10" i="23"/>
  <c r="N4" i="27"/>
  <c r="R4" i="27" s="1"/>
  <c r="S4" i="27" s="1"/>
  <c r="P16" i="24"/>
  <c r="S16" i="24" s="1"/>
  <c r="N17" i="27"/>
  <c r="R17" i="27" s="1"/>
  <c r="S17" i="27" s="1"/>
  <c r="R14" i="27"/>
  <c r="Q19" i="27"/>
  <c r="P18" i="27"/>
  <c r="S18" i="27" s="1"/>
  <c r="Q20" i="27"/>
  <c r="N16" i="27"/>
  <c r="R16" i="27" s="1"/>
  <c r="S16" i="27" s="1"/>
  <c r="P14" i="27"/>
  <c r="P12" i="27"/>
  <c r="S12" i="27" s="1"/>
  <c r="P7" i="27"/>
  <c r="S7" i="27" s="1"/>
  <c r="P15" i="27"/>
  <c r="S15" i="27" s="1"/>
  <c r="N5" i="27"/>
  <c r="N9" i="27"/>
  <c r="R9" i="27" s="1"/>
  <c r="S9" i="27" s="1"/>
  <c r="N13" i="27"/>
  <c r="R13" i="27" s="1"/>
  <c r="S13" i="27" s="1"/>
  <c r="P6" i="27"/>
  <c r="P10" i="27"/>
  <c r="S10" i="27" s="1"/>
  <c r="O20" i="27"/>
  <c r="N17" i="24"/>
  <c r="R17" i="24" s="1"/>
  <c r="P17" i="24"/>
  <c r="P3" i="27"/>
  <c r="S6" i="27" l="1"/>
  <c r="N20" i="27"/>
  <c r="N1" i="27" s="1"/>
  <c r="D12" i="23" s="1"/>
  <c r="R5" i="27"/>
  <c r="S5" i="27" s="1"/>
  <c r="R3" i="27"/>
  <c r="C17" i="36"/>
  <c r="C23" i="36" s="1"/>
  <c r="O1" i="27"/>
  <c r="E12" i="23" s="1"/>
  <c r="D17" i="36" s="1"/>
  <c r="Q1" i="27"/>
  <c r="G12" i="23" s="1"/>
  <c r="S14" i="27"/>
  <c r="P19" i="27"/>
  <c r="R19" i="27"/>
  <c r="P20" i="27"/>
  <c r="S17" i="24"/>
  <c r="R20" i="27" l="1"/>
  <c r="R1" i="27" s="1"/>
  <c r="P1" i="27"/>
  <c r="F12" i="23" s="1"/>
  <c r="S19" i="27"/>
  <c r="S3" i="27"/>
  <c r="S20" i="27" s="1"/>
  <c r="S1" i="27" l="1"/>
  <c r="I12" i="23" s="1"/>
  <c r="L4" i="24" l="1"/>
  <c r="L5" i="24"/>
  <c r="L6" i="24"/>
  <c r="L7" i="24"/>
  <c r="L8" i="24"/>
  <c r="L9" i="24"/>
  <c r="L10" i="24"/>
  <c r="L11" i="24"/>
  <c r="L12" i="24"/>
  <c r="L3" i="24"/>
  <c r="O3" i="24" s="1"/>
  <c r="N3" i="24" l="1"/>
  <c r="Q7" i="24"/>
  <c r="O7" i="24"/>
  <c r="Q3" i="24"/>
  <c r="O5" i="24"/>
  <c r="Q5" i="24"/>
  <c r="Q12" i="24"/>
  <c r="O12" i="24"/>
  <c r="Q4" i="24"/>
  <c r="O4" i="24"/>
  <c r="Q11" i="24"/>
  <c r="O11" i="24"/>
  <c r="O6" i="24"/>
  <c r="Q6" i="24"/>
  <c r="O10" i="24"/>
  <c r="Q10" i="24"/>
  <c r="Q8" i="24"/>
  <c r="O8" i="24"/>
  <c r="O9" i="24"/>
  <c r="Q9" i="24"/>
  <c r="O1" i="24" l="1"/>
  <c r="E11" i="23" s="1"/>
  <c r="Q1" i="24"/>
  <c r="G11" i="23" s="1"/>
  <c r="P10" i="24"/>
  <c r="N10" i="24"/>
  <c r="P12" i="24"/>
  <c r="N12" i="24"/>
  <c r="N6" i="24"/>
  <c r="P6" i="24"/>
  <c r="N5" i="24"/>
  <c r="P5" i="24"/>
  <c r="N11" i="24"/>
  <c r="P11" i="24"/>
  <c r="P9" i="24"/>
  <c r="N9" i="24"/>
  <c r="R9" i="24" s="1"/>
  <c r="P8" i="24"/>
  <c r="N8" i="24"/>
  <c r="N4" i="24"/>
  <c r="P4" i="24"/>
  <c r="N7" i="24"/>
  <c r="P7" i="24"/>
  <c r="P3" i="24"/>
  <c r="N1" i="24" l="1"/>
  <c r="D11" i="23" s="1"/>
  <c r="P1" i="24"/>
  <c r="F11" i="23" s="1"/>
  <c r="D16" i="36"/>
  <c r="D23" i="36" s="1"/>
  <c r="E13" i="23"/>
  <c r="S9" i="24"/>
  <c r="R12" i="24"/>
  <c r="S12" i="24" s="1"/>
  <c r="R5" i="24"/>
  <c r="S5" i="24" s="1"/>
  <c r="R6" i="24"/>
  <c r="S6" i="24" s="1"/>
  <c r="R8" i="24"/>
  <c r="S8" i="24" s="1"/>
  <c r="R7" i="24"/>
  <c r="S7" i="24" s="1"/>
  <c r="R10" i="24"/>
  <c r="S10" i="24" s="1"/>
  <c r="R11" i="24"/>
  <c r="S11" i="24" s="1"/>
  <c r="R4" i="24"/>
  <c r="S4" i="24" s="1"/>
  <c r="R3" i="24"/>
  <c r="R1" i="24" l="1"/>
  <c r="S1" i="24" s="1"/>
  <c r="S3" i="24"/>
  <c r="I11" i="23" l="1"/>
  <c r="F13" i="23" l="1"/>
  <c r="G13" i="23" l="1"/>
  <c r="D13" i="23" l="1"/>
  <c r="D31" i="35" s="1"/>
  <c r="E17" i="36" l="1"/>
  <c r="H12" i="23" s="1"/>
  <c r="E16" i="36"/>
  <c r="E18" i="36"/>
  <c r="H10" i="23" s="1"/>
  <c r="H11" i="23" l="1"/>
  <c r="H13" i="23" s="1"/>
  <c r="I13" i="23" s="1"/>
  <c r="E23"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Bauer, Jesse</author>
    <author>Kurtz, Spencer</author>
  </authors>
  <commentList>
    <comment ref="B3" authorId="0" shapeId="0" xr:uid="{AA502C0C-B4EF-4DCD-826A-E86CDEFD9FD5}">
      <text>
        <r>
          <rPr>
            <sz val="9"/>
            <color indexed="81"/>
            <rFont val="Tahoma"/>
            <family val="2"/>
          </rPr>
          <t xml:space="preserve">Does not include internal labor/self-installation costs
</t>
        </r>
      </text>
    </comment>
    <comment ref="H9" authorId="1" shapeId="0" xr:uid="{8A6D3E31-5551-4CB9-975C-23B8F989587B}">
      <text>
        <r>
          <rPr>
            <sz val="9"/>
            <color indexed="81"/>
            <rFont val="Tahoma"/>
            <family val="2"/>
          </rPr>
          <t>Net project cost is determined by subtracting the total incentive amount from the total gross project cost. Total net project cost could differ from adding the individual net project costs.</t>
        </r>
      </text>
    </comment>
    <comment ref="D13" authorId="0" shapeId="0" xr:uid="{3F84CD90-B5AE-485D-81A5-34D0BFB2556F}">
      <text>
        <r>
          <rPr>
            <sz val="9"/>
            <color indexed="81"/>
            <rFont val="Tahoma"/>
            <family val="2"/>
          </rPr>
          <t>The total authorized incentive amount awarded will be up to $25,000 or 100% of the total project cost(s), whichever is less. The total could differ from summing the individual incentives.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Berry, Rick</author>
    <author>Kurtz, Spencer</author>
  </authors>
  <commentList>
    <comment ref="E2" authorId="0" shapeId="0" xr:uid="{4C1FD218-BA80-4979-B941-9B23E3A9E021}">
      <text>
        <r>
          <rPr>
            <b/>
            <sz val="9"/>
            <color indexed="81"/>
            <rFont val="Tahoma"/>
            <family val="2"/>
          </rPr>
          <t xml:space="preserve">ASHRAE 90.1-2007: </t>
        </r>
        <r>
          <rPr>
            <sz val="9"/>
            <color indexed="81"/>
            <rFont val="Tahoma"/>
            <family val="2"/>
          </rPr>
          <t xml:space="preserve">
For building area types not listed, selection of a of a reasonably equivalent type shall be permitted.</t>
        </r>
      </text>
    </comment>
    <comment ref="H2" authorId="0" shapeId="0" xr:uid="{2B31C2B6-5F2B-4C1C-9109-FB50CEC98FB1}">
      <text>
        <r>
          <rPr>
            <b/>
            <sz val="9"/>
            <color indexed="81"/>
            <rFont val="Tahoma"/>
            <family val="2"/>
          </rPr>
          <t xml:space="preserve">ASHRAE 90.1-2007:
</t>
        </r>
        <r>
          <rPr>
            <sz val="9"/>
            <color indexed="81"/>
            <rFont val="Tahoma"/>
            <family val="2"/>
          </rPr>
          <t>Determine the gross lighted floor area (square feet) of the building/space type.</t>
        </r>
      </text>
    </comment>
    <comment ref="N2" authorId="1" shapeId="0" xr:uid="{A2FBECE0-4E2D-47F1-812D-9570A18BA620}">
      <text>
        <r>
          <rPr>
            <sz val="9"/>
            <color indexed="81"/>
            <rFont val="Tahoma"/>
            <family val="2"/>
          </rPr>
          <t>The total authorized incentive amount awarded will be up to $25,000 or 100% of the total project cost(s), whichever is less. The total could differ from summing the individual incentives</t>
        </r>
      </text>
    </comment>
    <comment ref="R2" authorId="1" shapeId="0" xr:uid="{FCAED8D5-F0C4-4352-AF7E-39FA791E890B}">
      <text>
        <r>
          <rPr>
            <sz val="9"/>
            <color indexed="81"/>
            <rFont val="Tahoma"/>
            <family val="2"/>
          </rPr>
          <t>Net project cost is determined by subtracting the total incentive amount from the total gross project cost. Total net project cost could differ from adding the individual net project costs.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Kurtz, Spencer</author>
  </authors>
  <commentList>
    <comment ref="N2" authorId="0" shapeId="0" xr:uid="{C43AE605-5B9B-467D-9ED1-2D2DAA9278C7}">
      <text>
        <r>
          <rPr>
            <sz val="9"/>
            <color indexed="81"/>
            <rFont val="Tahoma"/>
            <family val="2"/>
          </rPr>
          <t>The total authorized incentive amount awarded will be up to $25,000 or 100% of the total project cost(s), whichever is less. The total could differ from summing the individual incentives</t>
        </r>
      </text>
    </comment>
    <comment ref="R2" authorId="0" shapeId="0" xr:uid="{2F49FF67-0259-4119-A29F-8B9D5185940E}">
      <text>
        <r>
          <rPr>
            <sz val="9"/>
            <color indexed="81"/>
            <rFont val="Tahoma"/>
            <family val="2"/>
          </rPr>
          <t>Net project cost is determined by subtracting the total incentive amount from the total gross project cost. Total net project cost could differ from adding the individual net project costs.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Berry, Rick</author>
    <author>Kurtz, Spencer</author>
  </authors>
  <commentList>
    <comment ref="F1" authorId="0" shapeId="0" xr:uid="{1E57DAC1-A48C-4A24-8486-82C3C1CBA949}">
      <text>
        <r>
          <rPr>
            <sz val="9"/>
            <color indexed="81"/>
            <rFont val="Tahoma"/>
            <family val="2"/>
          </rPr>
          <t xml:space="preserve">For administrative purposes, the most accurate building type must be selected here (in addition to the Instructions tab). </t>
        </r>
      </text>
    </comment>
    <comment ref="I2" authorId="1" shapeId="0" xr:uid="{87AB8669-01F0-4F39-B274-EC0F05B6C523}">
      <text>
        <r>
          <rPr>
            <sz val="9"/>
            <color indexed="81"/>
            <rFont val="Tahoma"/>
            <family val="2"/>
          </rPr>
          <t>Input the # of corresponding units from Column M (Metric) associated with the given measure you are applying for</t>
        </r>
      </text>
    </comment>
    <comment ref="J2" authorId="1" shapeId="0" xr:uid="{71A1DBD6-5070-444D-839F-71E19214CE34}">
      <text>
        <r>
          <rPr>
            <sz val="9"/>
            <color indexed="81"/>
            <rFont val="Tahoma"/>
            <family val="2"/>
          </rPr>
          <t xml:space="preserve">Insert cost of materials/equipment per specific line item for all measures you are applying for. </t>
        </r>
      </text>
    </comment>
    <comment ref="M2" authorId="1" shapeId="0" xr:uid="{536E8FB4-DD3A-447B-A679-4715309D4CEE}">
      <text>
        <r>
          <rPr>
            <sz val="9"/>
            <color indexed="81"/>
            <rFont val="Tahoma"/>
            <family val="2"/>
          </rPr>
          <t>The total authorized incentive amount awarded will be up to $25,000 or 100% of the total project cost(s), whichever is less. The total could differ from summing the individual incentives</t>
        </r>
      </text>
    </comment>
    <comment ref="Q2" authorId="1" shapeId="0" xr:uid="{63E2FBEF-3301-44F2-9B4F-098A18AFC927}">
      <text>
        <r>
          <rPr>
            <sz val="9"/>
            <color indexed="81"/>
            <rFont val="Tahoma"/>
            <family val="2"/>
          </rPr>
          <t>Net project cost is determined by subtracting the total incentive amount from the total gross project cost. Net project cost could differ from adding the individual net project costs</t>
        </r>
      </text>
    </comment>
    <comment ref="I11" authorId="1" shapeId="0" xr:uid="{16F659AD-600E-4DE8-80C7-8C59ECFEB64F}">
      <text>
        <r>
          <rPr>
            <sz val="9"/>
            <color indexed="81"/>
            <rFont val="Tahoma"/>
            <family val="2"/>
          </rPr>
          <t>Input the # of corresponding units from Column M (Metric) associated with the given measure you are applying for</t>
        </r>
      </text>
    </comment>
    <comment ref="J11" authorId="1" shapeId="0" xr:uid="{C0708EF8-D058-4091-B40D-0F94D28A2D8C}">
      <text>
        <r>
          <rPr>
            <sz val="9"/>
            <color indexed="81"/>
            <rFont val="Tahoma"/>
            <family val="2"/>
          </rPr>
          <t xml:space="preserve">Insert cost of materials/equipment per specific line item for all measures you are applying for. </t>
        </r>
      </text>
    </comment>
    <comment ref="M11" authorId="1" shapeId="0" xr:uid="{99C3807B-6E93-46DE-8F91-A13E332DC52A}">
      <text>
        <r>
          <rPr>
            <sz val="9"/>
            <color indexed="81"/>
            <rFont val="Tahoma"/>
            <family val="2"/>
          </rPr>
          <t>The total authorized incentive amount awarded will be up to $25,000 or 100% of the total project cost(s), whichever is less. The total could differ from summing the individual incentives</t>
        </r>
      </text>
    </comment>
    <comment ref="Q11" authorId="1" shapeId="0" xr:uid="{170FCB6B-DCCF-4F0C-833F-9AE1BDCC4277}">
      <text>
        <r>
          <rPr>
            <sz val="9"/>
            <color indexed="81"/>
            <rFont val="Tahoma"/>
            <family val="2"/>
          </rPr>
          <t>Net project cost is determined by subtracting the total incentive amount from the total gross project cost. Net project cost could differ from adding the individual net project costs</t>
        </r>
      </text>
    </comment>
    <comment ref="I21" authorId="1" shapeId="0" xr:uid="{73C8D7A6-7189-4D03-8D42-86385DAFF4EE}">
      <text>
        <r>
          <rPr>
            <sz val="9"/>
            <color indexed="81"/>
            <rFont val="Tahoma"/>
            <family val="2"/>
          </rPr>
          <t>Input the # of corresponding units from Column M (Metric) associated with the given measure you are applying for</t>
        </r>
      </text>
    </comment>
    <comment ref="J21" authorId="1" shapeId="0" xr:uid="{0311EE80-62C9-48F3-BD48-EFFBDBEA3FC8}">
      <text>
        <r>
          <rPr>
            <sz val="9"/>
            <color indexed="81"/>
            <rFont val="Tahoma"/>
            <family val="2"/>
          </rPr>
          <t xml:space="preserve">Insert cost of materials/equipment per specific line item for all measures you are applying for. </t>
        </r>
      </text>
    </comment>
    <comment ref="M21" authorId="1" shapeId="0" xr:uid="{61C7BAE3-2C85-4B5C-8643-1B7C5EB467BF}">
      <text>
        <r>
          <rPr>
            <sz val="9"/>
            <color indexed="81"/>
            <rFont val="Tahoma"/>
            <family val="2"/>
          </rPr>
          <t>The total authorized incentive amount awarded will be up to $25,000 or 100% of the total project cost(s), whichever is less. The total could differ from summing the individual incentives</t>
        </r>
      </text>
    </comment>
    <comment ref="Q21" authorId="1" shapeId="0" xr:uid="{E210F266-0337-44A9-AE49-FEC231CA9E0A}">
      <text>
        <r>
          <rPr>
            <sz val="9"/>
            <color indexed="81"/>
            <rFont val="Tahoma"/>
            <family val="2"/>
          </rPr>
          <t>Net project cost is determined by subtracting the total incentive amount from the total gross project cost. Net project cost could differ from adding the individual net project costs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Kurtz, Spencer</author>
  </authors>
  <commentList>
    <comment ref="D2" authorId="0" shapeId="0" xr:uid="{79C7283F-820D-4B54-AA35-402D7CAA9B5D}">
      <text>
        <r>
          <rPr>
            <sz val="9"/>
            <color indexed="81"/>
            <rFont val="Tahoma"/>
            <family val="2"/>
          </rPr>
          <t>For any applicable project being installed at the facility, locate the measure from the list and fill in all applicable input tabs to the right corresponding to that measure</t>
        </r>
      </text>
    </comment>
    <comment ref="F2" authorId="0" shapeId="0" xr:uid="{D12732F9-D8F7-4E50-8E59-CE26E4EF7A50}">
      <text>
        <r>
          <rPr>
            <sz val="9"/>
            <color indexed="81"/>
            <rFont val="Tahoma"/>
            <family val="2"/>
          </rPr>
          <t xml:space="preserve">Input any requested information from the "Additional Info" column for the corresponding measure you are applying for </t>
        </r>
      </text>
    </comment>
    <comment ref="G2" authorId="0" shapeId="0" xr:uid="{34053D79-3637-4BC0-A0CA-A1C2289B9387}">
      <text>
        <r>
          <rPr>
            <sz val="9"/>
            <color indexed="81"/>
            <rFont val="Tahoma"/>
            <family val="2"/>
          </rPr>
          <t>Input the # of corresponding units from Column M (Metric) associated with the given measure you are applying for</t>
        </r>
      </text>
    </comment>
    <comment ref="H2" authorId="0" shapeId="0" xr:uid="{5BCA1560-F9DF-4E31-8FEB-10546BCCFCEE}">
      <text>
        <r>
          <rPr>
            <sz val="9"/>
            <color indexed="81"/>
            <rFont val="Tahoma"/>
            <family val="2"/>
          </rPr>
          <t xml:space="preserve">Insert cost of materials/equipment per specific line item for all measures you are applying for. </t>
        </r>
      </text>
    </comment>
    <comment ref="K2" authorId="0" shapeId="0" xr:uid="{BB5E818E-EC70-4E97-AE77-099AB418176E}">
      <text>
        <r>
          <rPr>
            <sz val="9"/>
            <color indexed="81"/>
            <rFont val="Tahoma"/>
            <family val="2"/>
          </rPr>
          <t>The total authorized incentive amount awarded will be up to $25,000 or 100% of the total project cost(s), whichever is less. The total could differ from summing the individual incentives</t>
        </r>
      </text>
    </comment>
    <comment ref="O2" authorId="0" shapeId="0" xr:uid="{FF2F405C-A10E-4390-8CAC-12E3277CF299}">
      <text>
        <r>
          <rPr>
            <sz val="9"/>
            <color indexed="81"/>
            <rFont val="Tahoma"/>
            <family val="2"/>
          </rPr>
          <t>Net project cost is determined by subtracting the total incentive amount from the total gross project cost. Net project cost could differ from adding the individual net project costs</t>
        </r>
      </text>
    </comment>
    <comment ref="F6" authorId="0" shapeId="0" xr:uid="{438D62B0-1099-4A51-80CB-6869C8C32974}">
      <text>
        <r>
          <rPr>
            <sz val="9"/>
            <color indexed="81"/>
            <rFont val="Tahoma"/>
            <family val="2"/>
          </rPr>
          <t xml:space="preserve">Input any requested information from the "Additional Info2" column for the corresponding measure you are applying for </t>
        </r>
      </text>
    </comment>
    <comment ref="G6" authorId="0" shapeId="0" xr:uid="{9F4FD65A-FAE4-4BD0-B3BF-FA6510983DDC}">
      <text>
        <r>
          <rPr>
            <sz val="9"/>
            <color indexed="81"/>
            <rFont val="Tahoma"/>
            <family val="2"/>
          </rPr>
          <t>Input the # of corresponding units from Column M (Metric) associated with the given measure you are applying for</t>
        </r>
      </text>
    </comment>
    <comment ref="H6" authorId="0" shapeId="0" xr:uid="{0C836B00-7552-45DA-B21B-00031E40168C}">
      <text>
        <r>
          <rPr>
            <sz val="9"/>
            <color indexed="81"/>
            <rFont val="Tahoma"/>
            <family val="2"/>
          </rPr>
          <t xml:space="preserve">Insert cost of materials/equipment per specific line item for all measures you are applying for. </t>
        </r>
      </text>
    </comment>
    <comment ref="K6" authorId="0" shapeId="0" xr:uid="{68A294C2-78E1-470F-9671-62DF70243915}">
      <text>
        <r>
          <rPr>
            <sz val="9"/>
            <color indexed="81"/>
            <rFont val="Tahoma"/>
            <family val="2"/>
          </rPr>
          <t>The total authorized incentive amount awarded will be up to $25,000 or 100% of the total project cost(s), whichever is less. The total could differ from summing the individual incentives</t>
        </r>
      </text>
    </comment>
    <comment ref="O6" authorId="0" shapeId="0" xr:uid="{777D2C84-A610-4D4F-8A3F-7698EE0B1E46}">
      <text>
        <r>
          <rPr>
            <sz val="9"/>
            <color indexed="81"/>
            <rFont val="Tahoma"/>
            <family val="2"/>
          </rPr>
          <t>Net project cost is determined by subtracting the total incentive amount from the total gross project cost. Net project cost could differ from adding the individual net project costs</t>
        </r>
      </text>
    </comment>
    <comment ref="E10" authorId="0" shapeId="0" xr:uid="{B1498E74-B899-4EF4-8461-BB3A1AD5C700}">
      <text>
        <r>
          <rPr>
            <sz val="9"/>
            <color indexed="81"/>
            <rFont val="Tahoma"/>
            <family val="2"/>
          </rPr>
          <t xml:space="preserve">Input any requested information from the "Additional Info" column for the corresponding measure you are applying for </t>
        </r>
      </text>
    </comment>
    <comment ref="G10" authorId="0" shapeId="0" xr:uid="{EB41289E-11C8-430C-8846-9BAD5BED5D03}">
      <text>
        <r>
          <rPr>
            <sz val="9"/>
            <color indexed="81"/>
            <rFont val="Tahoma"/>
            <family val="2"/>
          </rPr>
          <t>Input the # of corresponding units from Column M (Metric) associated with the given measure you are applying for</t>
        </r>
      </text>
    </comment>
    <comment ref="H10" authorId="0" shapeId="0" xr:uid="{997006DC-CDF2-4006-94F7-A33F27A1AC14}">
      <text>
        <r>
          <rPr>
            <sz val="9"/>
            <color indexed="81"/>
            <rFont val="Tahoma"/>
            <family val="2"/>
          </rPr>
          <t xml:space="preserve">Insert cost of materials/equipment per specific line item for all measures you are applying for. </t>
        </r>
      </text>
    </comment>
    <comment ref="K10" authorId="0" shapeId="0" xr:uid="{151DBF34-8794-4413-81B7-4B2253D6BFE1}">
      <text>
        <r>
          <rPr>
            <sz val="9"/>
            <color indexed="81"/>
            <rFont val="Tahoma"/>
            <family val="2"/>
          </rPr>
          <t>The total authorized incentive amount awarded will be up to $25,000 or 100% of the total project cost(s), whichever is less. The total could differ from summing the individual incentives</t>
        </r>
      </text>
    </comment>
    <comment ref="O10" authorId="0" shapeId="0" xr:uid="{E7194CB0-B5D9-4EED-A95A-93F20FEF5B29}">
      <text>
        <r>
          <rPr>
            <sz val="9"/>
            <color indexed="81"/>
            <rFont val="Tahoma"/>
            <family val="2"/>
          </rPr>
          <t>Net project cost is determined by subtracting the total incentive amount from the total gross project cost. Net project cost could differ from adding the individual net project costs</t>
        </r>
      </text>
    </comment>
    <comment ref="F16" authorId="0" shapeId="0" xr:uid="{7C2637E4-779F-4F3C-9032-1BC3BDC93D64}">
      <text>
        <r>
          <rPr>
            <sz val="9"/>
            <color indexed="81"/>
            <rFont val="Tahoma"/>
            <family val="2"/>
          </rPr>
          <t xml:space="preserve">Input any requested information from the "Additional Info" column for the corresponding measure you are applying for </t>
        </r>
      </text>
    </comment>
    <comment ref="G16" authorId="0" shapeId="0" xr:uid="{D04CC8A1-9B51-40A5-AC39-6312CCBB62B9}">
      <text>
        <r>
          <rPr>
            <sz val="9"/>
            <color indexed="81"/>
            <rFont val="Tahoma"/>
            <family val="2"/>
          </rPr>
          <t>Input the # of corresponding units from Column M (Metric) associated with the given measure you are applying for</t>
        </r>
      </text>
    </comment>
    <comment ref="H16" authorId="0" shapeId="0" xr:uid="{69DECBB2-5D64-4E23-81A5-EEFB0266BF9F}">
      <text>
        <r>
          <rPr>
            <sz val="9"/>
            <color indexed="81"/>
            <rFont val="Tahoma"/>
            <family val="2"/>
          </rPr>
          <t xml:space="preserve">Insert cost of materials/equipment per specific line item for all measures you are applying for. </t>
        </r>
      </text>
    </comment>
    <comment ref="K16" authorId="0" shapeId="0" xr:uid="{D8B48D9A-6779-4248-84D8-AC793DEF6792}">
      <text>
        <r>
          <rPr>
            <sz val="9"/>
            <color indexed="81"/>
            <rFont val="Tahoma"/>
            <family val="2"/>
          </rPr>
          <t>The total authorized incentive amount awarded will be up to $25,000 or 100% of the total project cost(s), whichever is less. The total could differ from summing the individual incentives</t>
        </r>
      </text>
    </comment>
    <comment ref="O16" authorId="0" shapeId="0" xr:uid="{8A50BB5E-F749-40F8-A45C-94F2D07AB93A}">
      <text>
        <r>
          <rPr>
            <sz val="9"/>
            <color indexed="81"/>
            <rFont val="Tahoma"/>
            <family val="2"/>
          </rPr>
          <t>Net project cost is determined by subtracting the total incentive amount from the total gross project cost. Net project cost could differ from adding the individual net project costs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tc={FAB948D9-8175-46F8-AD08-F73CFF294016}</author>
    <author>tc={90450256-A87A-4EC6-AA3E-7B80B2DF0FE9}</author>
    <author>tc={73424411-2EFD-413E-8B5C-49E9DC410988}</author>
    <author>tc={2FA4A86F-F96B-4BEA-AFEA-00012D8E17D8}</author>
    <author>tc={98F4482D-EF33-486E-AAF3-BE84B23E799B}</author>
    <author>tc={FE3BEFBC-8928-43A4-8E84-83893D455952}</author>
  </authors>
  <commentList>
    <comment ref="S5" authorId="0" shapeId="0" xr:uid="{FAB948D9-8175-46F8-AD08-F73CFF294016}">
      <text>
        <t>[Threaded comment]
Your version of Excel allows you to read this threaded comment; however, any edits to it will get removed if the file is opened in a newer version of Excel. Learn more: https://go.microsoft.com/fwlink/?linkid=870924
Comment:
    SEER2</t>
      </text>
    </comment>
    <comment ref="S10" authorId="1" shapeId="0" xr:uid="{90450256-A87A-4EC6-AA3E-7B80B2DF0FE9}">
      <text>
        <t>[Threaded comment]
Your version of Excel allows you to read this threaded comment; however, any edits to it will get removed if the file is opened in a newer version of Excel. Learn more: https://go.microsoft.com/fwlink/?linkid=870924
Comment:
    SEER2</t>
      </text>
    </comment>
    <comment ref="T10" authorId="2" shapeId="0" xr:uid="{73424411-2EFD-413E-8B5C-49E9DC410988}">
      <text>
        <t>[Threaded comment]
Your version of Excel allows you to read this threaded comment; however, any edits to it will get removed if the file is opened in a newer version of Excel. Learn more: https://go.microsoft.com/fwlink/?linkid=870924
Comment:
    HSPF2</t>
      </text>
    </comment>
    <comment ref="W10" authorId="3" shapeId="0" xr:uid="{2FA4A86F-F96B-4BEA-AFEA-00012D8E17D8}">
      <text>
        <t>[Threaded comment]
Your version of Excel allows you to read this threaded comment; however, any edits to it will get removed if the file is opened in a newer version of Excel. Learn more: https://go.microsoft.com/fwlink/?linkid=870924
Comment:
    HSPF2</t>
      </text>
    </comment>
    <comment ref="B12" authorId="4" shapeId="0" xr:uid="{98F4482D-EF33-486E-AAF3-BE84B23E799B}">
      <text>
        <t>[Threaded comment]
Your version of Excel allows you to read this threaded comment; however, any edits to it will get removed if the file is opened in a newer version of Excel. Learn more: https://go.microsoft.com/fwlink/?linkid=870924
Comment:
    @Sheaffer, Andrew Will likely need to create new NC HVAC measures with updated min. efficiency values
Reply:
    Using/updating existing APTracks measures</t>
      </text>
    </comment>
    <comment ref="J140" authorId="5" shapeId="0" xr:uid="{FE3BEFBC-8928-43A4-8E84-83893D455952}">
      <text>
        <t>[Threaded comment]
Your version of Excel allows you to read this threaded comment; however, any edits to it will get removed if the file is opened in a newer version of Excel. Learn more: https://go.microsoft.com/fwlink/?linkid=870924
Comment:
    @Sheaffer, Andrew This table of AOH and CF values comes directly from the Arkansas TRM, so I don't believe it needs to be updated</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<sst xmlns="http://schemas.openxmlformats.org/spreadsheetml/2006/main" count="1762" uniqueCount="844">
  <si>
    <t>Instructions</t>
  </si>
  <si>
    <t>Name</t>
  </si>
  <si>
    <t>Enter basic customer and trade ally information on this sheet.</t>
  </si>
  <si>
    <t>Enter information into cells on the "Prescriptive Measures" and "Interior &amp; Exterior Lighting" tabs.</t>
  </si>
  <si>
    <t>Instructions for input fields can be found by highlighting the column headers in each table.</t>
  </si>
  <si>
    <t>Contact the program at entergysolutionsla@entergy.com or 844-829-1300 with any questions.</t>
  </si>
  <si>
    <t>Cells throughout the workbook are generally colored as follows:</t>
  </si>
  <si>
    <t>Input Cell</t>
  </si>
  <si>
    <t>Calculation Cell</t>
  </si>
  <si>
    <t>Gray cells like this one generally cannot be changed by the user.</t>
  </si>
  <si>
    <t>Retail: Strip Shopping &amp; Non-enclosed Mall</t>
  </si>
  <si>
    <t>A/C with Gas Heat</t>
  </si>
  <si>
    <t>Current Phase</t>
  </si>
  <si>
    <t>Design</t>
  </si>
  <si>
    <t>Small C&amp;I (&lt;100 kW average monthly peak demand)</t>
  </si>
  <si>
    <t>Spreadsheet Version</t>
  </si>
  <si>
    <t>Lighting Qualification: T-8 Equipment</t>
  </si>
  <si>
    <t>To be eligible for Energy Smart incentives, T-8 lighting equipment must be listed on one of the following qualified products lists.</t>
  </si>
  <si>
    <t>Lamps</t>
  </si>
  <si>
    <t>CEE Qualifying Products List</t>
  </si>
  <si>
    <t>https://library.cee1.org/content/commercial-lighting-qualifying-products-lists</t>
  </si>
  <si>
    <t>Ballasts manufactured before Nov. 14, 2014</t>
  </si>
  <si>
    <t>Ballasts manufactured after Nov. 14, 2014</t>
  </si>
  <si>
    <t>NEMA Qualifying</t>
  </si>
  <si>
    <t>http://www.nema.org/Policy/Energy/Efficiency/Documents/nema_premium_electronic_ballast_program.pdf</t>
  </si>
  <si>
    <t>LED exit signs shall use 5 watts or less including battery charger when active, and must meet state fire marshal codes and be UL rated.</t>
  </si>
  <si>
    <t>LED lighting needs to be listed on the certified product list provided below:</t>
  </si>
  <si>
    <t>Design Lights Consortium (DLC)</t>
  </si>
  <si>
    <t>www.designlights.org/search/</t>
  </si>
  <si>
    <t>For HVAC replacement equipment (A/C units, heat pumps, chillers) to be eligible for Entergy Solutions incentives, an AHRI reference number or documentation from the AHRI Manual to verify the required efficiency level for all systems is required. If the equipment or matched set is not in the AHRI manual, the manufacturer’s technical fact sheets must be provided showing the efficiency level tested under AHRI conditions. Equipment capacity (size) and efficiency must be based on AHRI design conditions. Incentives will be paid based on AHRI rated capacity.</t>
  </si>
  <si>
    <t>Commercial Kitchen Equipment</t>
  </si>
  <si>
    <t>www.energystar.gov/products/commercial_food_service_equipment</t>
  </si>
  <si>
    <t>To be eligible for incentives, the LPD for the proposed building must demonstrate a minimum reduction of 10% compared to the baseline LPD.</t>
  </si>
  <si>
    <t>Gross Project Cost</t>
  </si>
  <si>
    <t>Total Incentive</t>
  </si>
  <si>
    <t>kWh Savings</t>
  </si>
  <si>
    <t>$ Savings</t>
  </si>
  <si>
    <t>kW Reduction</t>
  </si>
  <si>
    <t>Net Project Cost</t>
  </si>
  <si>
    <t>Simple Payback (Years)</t>
  </si>
  <si>
    <t>Interior Lighting</t>
  </si>
  <si>
    <t>Totals</t>
  </si>
  <si>
    <t>Measure Number</t>
  </si>
  <si>
    <t>Category</t>
  </si>
  <si>
    <t>HVAC Configuration</t>
  </si>
  <si>
    <r>
      <t>Area (ft</t>
    </r>
    <r>
      <rPr>
        <b/>
        <vertAlign val="superscript"/>
        <sz val="11"/>
        <color theme="0"/>
        <rFont val="Calibri"/>
        <family val="2"/>
        <scheme val="minor"/>
      </rPr>
      <t>2</t>
    </r>
    <r>
      <rPr>
        <b/>
        <sz val="11"/>
        <color theme="0"/>
        <rFont val="Calibri"/>
        <family val="2"/>
        <scheme val="minor"/>
      </rPr>
      <t>)</t>
    </r>
  </si>
  <si>
    <r>
      <t>Proposed LPD
(W/ft</t>
    </r>
    <r>
      <rPr>
        <b/>
        <vertAlign val="superscript"/>
        <sz val="11"/>
        <color theme="0"/>
        <rFont val="Calibri"/>
        <family val="2"/>
        <scheme val="minor"/>
      </rPr>
      <t>2</t>
    </r>
    <r>
      <rPr>
        <b/>
        <sz val="11"/>
        <color theme="0"/>
        <rFont val="Calibri"/>
        <family val="2"/>
        <scheme val="minor"/>
      </rPr>
      <t>)</t>
    </r>
  </si>
  <si>
    <r>
      <t>Baseline LPD
(W/ft</t>
    </r>
    <r>
      <rPr>
        <b/>
        <vertAlign val="superscript"/>
        <sz val="11"/>
        <color theme="0"/>
        <rFont val="Calibri"/>
        <family val="2"/>
        <scheme val="minor"/>
      </rPr>
      <t>2</t>
    </r>
    <r>
      <rPr>
        <b/>
        <sz val="11"/>
        <color theme="0"/>
        <rFont val="Calibri"/>
        <family val="2"/>
        <scheme val="minor"/>
      </rPr>
      <t>)</t>
    </r>
  </si>
  <si>
    <t>Lighting</t>
  </si>
  <si>
    <t>Building Area Method</t>
  </si>
  <si>
    <t>Courthouse</t>
  </si>
  <si>
    <t>Prescriptive Measure</t>
  </si>
  <si>
    <t>Quantity</t>
  </si>
  <si>
    <t>Building Grounds</t>
  </si>
  <si>
    <t>Tradeable</t>
  </si>
  <si>
    <t>Nontradeable</t>
  </si>
  <si>
    <t>Assembly</t>
  </si>
  <si>
    <t>Cooling Capacity 
(Tons)</t>
  </si>
  <si>
    <t>Full Load Efficiency 
(EER)</t>
  </si>
  <si>
    <t>Part Load Efficiency 
(SEER, IEER)</t>
  </si>
  <si>
    <t>Heating Efficiency 
(HSPF)</t>
  </si>
  <si>
    <t>HVAC Units 
Installed</t>
  </si>
  <si>
    <t>Metric</t>
  </si>
  <si>
    <t>Per-Unit Incentive</t>
  </si>
  <si>
    <t>HVAC</t>
  </si>
  <si>
    <t>A/C Unit (5.42 - 11.24 Tons) - Min. efficiency 12.2 EER/14.8 SEER</t>
  </si>
  <si>
    <t>A/C Unit (11.25 - 19.9 Tons) - Min. efficiency 12.2 EER/14.8 SEER</t>
  </si>
  <si>
    <t>Full Load Efficiency 
(FL kW/ton)</t>
  </si>
  <si>
    <t>Part Load Efficiency 
(IPLV-kW/ton)</t>
  </si>
  <si>
    <t>Chillers
Installed</t>
  </si>
  <si>
    <t>Units 
Installed</t>
  </si>
  <si>
    <t>ECM Motors (HVAC)</t>
  </si>
  <si>
    <t xml:space="preserve">Guest Room Energy Management Controls </t>
  </si>
  <si>
    <t>Building Type</t>
  </si>
  <si>
    <t>Low-Flow Water Fixtures</t>
  </si>
  <si>
    <t xml:space="preserve">Low-Flow Sink Aerators - 1.5 GPM or Less - Only Electric Hot Water </t>
  </si>
  <si>
    <t>Prison</t>
  </si>
  <si>
    <t xml:space="preserve">Low-Flow Showerhead - 1.75 GPM or Less - Only Electric Hot Water </t>
  </si>
  <si>
    <t>Lodging</t>
  </si>
  <si>
    <t xml:space="preserve">Pre-Rinse Spray Valves - 1.28 GPM or Less - Only Electric Hot Water </t>
  </si>
  <si>
    <t>Casual Dining</t>
  </si>
  <si>
    <t>Food Service</t>
  </si>
  <si>
    <t>ECM Motors (Refrigeration)</t>
  </si>
  <si>
    <t>Cooler (medium-temp.)</t>
  </si>
  <si>
    <t>Evaporator Fan Controllers (Refrigeration)</t>
  </si>
  <si>
    <t>Solid Door Reach-Ins (Refrigeration)</t>
  </si>
  <si>
    <t>Refrigerator</t>
  </si>
  <si>
    <t>15 - 30 cu. ft</t>
  </si>
  <si>
    <t>Commercial Dishwasher - ENERGY STAR - Under Counter</t>
  </si>
  <si>
    <t>High Temp</t>
  </si>
  <si>
    <t>Electric/Electric</t>
  </si>
  <si>
    <t>Commercial Dishwasher - ENERGY STAR - Stationary Single Tank Door</t>
  </si>
  <si>
    <t>Low Temp</t>
  </si>
  <si>
    <t>Electric/No Booster</t>
  </si>
  <si>
    <t>Commercial Dishwasher - ENERGY STAR - Pots, Pans and Utensils</t>
  </si>
  <si>
    <t>Commercial Dishwasher - ENERGY STAR - Single Tank Conveyor</t>
  </si>
  <si>
    <t>Gas/Electric</t>
  </si>
  <si>
    <t>Commercial Dishwasher - ENERGY STAR - Multiple Tank Conveyor</t>
  </si>
  <si>
    <t>Gas/No Booster</t>
  </si>
  <si>
    <t>Commercial Steam cooker - ENERGY STAR</t>
  </si>
  <si>
    <t>4-Pan</t>
  </si>
  <si>
    <t>Convection Commercial Oven - ENERGY STAR</t>
  </si>
  <si>
    <t>Half-Size</t>
  </si>
  <si>
    <t>Combination Commercial Oven &lt;15 Pan - ENERGY STAR</t>
  </si>
  <si>
    <t>Combination Commercial Oven &gt;=15 Pan - ENERGY STAR</t>
  </si>
  <si>
    <t>Commercial Ice maker - ENERGY STAR</t>
  </si>
  <si>
    <t>Ice Making Heads, Continuous Type</t>
  </si>
  <si>
    <t>General</t>
  </si>
  <si>
    <t>Refrigeration</t>
  </si>
  <si>
    <t>Misc (Low Flow)</t>
  </si>
  <si>
    <t>Measure Name</t>
  </si>
  <si>
    <t>Incentive - SC</t>
  </si>
  <si>
    <t>Incentive - LC</t>
  </si>
  <si>
    <t>Type</t>
  </si>
  <si>
    <t>Baseline</t>
  </si>
  <si>
    <t>Efficient (Requirement)</t>
  </si>
  <si>
    <t>Refrigeration Application</t>
  </si>
  <si>
    <t>Aerator Building Types</t>
  </si>
  <si>
    <t>Ton</t>
  </si>
  <si>
    <t>Building Area Type</t>
  </si>
  <si>
    <r>
      <t>LPD (W/ft</t>
    </r>
    <r>
      <rPr>
        <vertAlign val="superscript"/>
        <sz val="11"/>
        <color theme="1"/>
        <rFont val="Calibri"/>
        <family val="2"/>
        <scheme val="minor"/>
      </rPr>
      <t>2</t>
    </r>
    <r>
      <rPr>
        <sz val="11"/>
        <color theme="1"/>
        <rFont val="Calibri"/>
        <family val="2"/>
        <scheme val="minor"/>
      </rPr>
      <t>)</t>
    </r>
  </si>
  <si>
    <t>Common Space Types</t>
  </si>
  <si>
    <t>Equipment Type</t>
  </si>
  <si>
    <t>Min EER</t>
  </si>
  <si>
    <t>Min SEER/IEER</t>
  </si>
  <si>
    <t>Min Htg Eff. (HSPF)</t>
  </si>
  <si>
    <t>Automotive Facility</t>
  </si>
  <si>
    <t>---Common Space Types</t>
  </si>
  <si>
    <t>Freezer (low temp.)</t>
  </si>
  <si>
    <t>Hospital, Nursing Home</t>
  </si>
  <si>
    <t>Convention Center</t>
  </si>
  <si>
    <t>Active Storage</t>
  </si>
  <si>
    <t>Gas/Gas</t>
  </si>
  <si>
    <t>Dormitory</t>
  </si>
  <si>
    <t>Atrium</t>
  </si>
  <si>
    <t>Case Type</t>
  </si>
  <si>
    <t>Multifamily</t>
  </si>
  <si>
    <t>Dining: Bar Lounge/Leisure</t>
  </si>
  <si>
    <t>Audiences/Seating Area</t>
  </si>
  <si>
    <t xml:space="preserve">Vertical Open, Remote Condensing </t>
  </si>
  <si>
    <t>Convection Oven Size</t>
  </si>
  <si>
    <t>Dining: Cafeteria/Fast Food</t>
  </si>
  <si>
    <t xml:space="preserve">Classroom/Lecture/Training </t>
  </si>
  <si>
    <t>Vertical Open, Self-Contained</t>
  </si>
  <si>
    <t>Commercial</t>
  </si>
  <si>
    <t>Dining: Family</t>
  </si>
  <si>
    <t>Conference/Meeting/Multipurpose</t>
  </si>
  <si>
    <t>Semivertical Open, Remote Condensing</t>
  </si>
  <si>
    <t>Full-Size</t>
  </si>
  <si>
    <t>School</t>
  </si>
  <si>
    <t>Corridor/Transition</t>
  </si>
  <si>
    <t>Semivertical Open, Self-Contained</t>
  </si>
  <si>
    <t>Other</t>
  </si>
  <si>
    <t>Room</t>
  </si>
  <si>
    <t>Exercise Center</t>
  </si>
  <si>
    <t>Dining Area</t>
  </si>
  <si>
    <t>Horizontal Open, Remote Condensing</t>
  </si>
  <si>
    <t>Gymnasium</t>
  </si>
  <si>
    <t>Dressing/Locker/Fitting Room</t>
  </si>
  <si>
    <t>Horizontal Open, Self-Contained</t>
  </si>
  <si>
    <t>PRSV Building Types</t>
  </si>
  <si>
    <t>Health-Care Clinic</t>
  </si>
  <si>
    <t>Electrical/Mechanical</t>
  </si>
  <si>
    <t>EFLHc</t>
  </si>
  <si>
    <t>EFLHh</t>
  </si>
  <si>
    <t>CF</t>
  </si>
  <si>
    <t>Fast Food</t>
  </si>
  <si>
    <t>Hospital</t>
  </si>
  <si>
    <t>Food Preparation</t>
  </si>
  <si>
    <t>Strips Building</t>
  </si>
  <si>
    <t>Hotel</t>
  </si>
  <si>
    <t>Inactive Storage</t>
  </si>
  <si>
    <t>Supermarket</t>
  </si>
  <si>
    <t>Institutional</t>
  </si>
  <si>
    <t>Library</t>
  </si>
  <si>
    <t>Laboratory</t>
  </si>
  <si>
    <t>Grocery</t>
  </si>
  <si>
    <t>Convenience Store</t>
  </si>
  <si>
    <t>Manufacturing Facility</t>
  </si>
  <si>
    <t>Lobby</t>
  </si>
  <si>
    <t>Health Clinic</t>
  </si>
  <si>
    <t>Restaurant</t>
  </si>
  <si>
    <t>K-12 School</t>
  </si>
  <si>
    <t>Motel</t>
  </si>
  <si>
    <t>Lounge/Recreation</t>
  </si>
  <si>
    <t>Office</t>
  </si>
  <si>
    <t>Refrigerated Warehouse</t>
  </si>
  <si>
    <t>Motion Picture Theater</t>
  </si>
  <si>
    <t>Restrooms</t>
  </si>
  <si>
    <t>Full Menu Restaurant</t>
  </si>
  <si>
    <t>Refrigerators Size</t>
  </si>
  <si>
    <t>Showerhead Building Types</t>
  </si>
  <si>
    <t>Fan</t>
  </si>
  <si>
    <t>Museum</t>
  </si>
  <si>
    <t>Sales Area Accent Lighting</t>
  </si>
  <si>
    <t>Religious Worship</t>
  </si>
  <si>
    <t>0 - 15 cu. ft.</t>
  </si>
  <si>
    <t>Food Service/Retail/Refrigeration</t>
  </si>
  <si>
    <t>Stairs</t>
  </si>
  <si>
    <t>Retail</t>
  </si>
  <si>
    <t>Parking Garage</t>
  </si>
  <si>
    <t>Workshop</t>
  </si>
  <si>
    <t>30 - 50 cu. ft.</t>
  </si>
  <si>
    <t>Unit</t>
  </si>
  <si>
    <t>Penitentiary</t>
  </si>
  <si>
    <t>---Building-Specific Space Types---</t>
  </si>
  <si>
    <t>University</t>
  </si>
  <si>
    <r>
      <rPr>
        <sz val="11"/>
        <color theme="1"/>
        <rFont val="Calibri"/>
        <family val="2"/>
      </rPr>
      <t xml:space="preserve">≥ </t>
    </r>
    <r>
      <rPr>
        <sz val="11"/>
        <color theme="1"/>
        <rFont val="Calibri"/>
        <family val="2"/>
        <scheme val="minor"/>
      </rPr>
      <t>50 cu. ft.</t>
    </r>
  </si>
  <si>
    <t>Fitness Center</t>
  </si>
  <si>
    <t>Commercial Kitchen</t>
  </si>
  <si>
    <t>Performing Arts Theater</t>
  </si>
  <si>
    <t xml:space="preserve">Gymnasium/Exercise Center </t>
  </si>
  <si>
    <t>All Other</t>
  </si>
  <si>
    <t>Police/Fire Station</t>
  </si>
  <si>
    <t>Automotive</t>
  </si>
  <si>
    <t>Post Office</t>
  </si>
  <si>
    <t>Bank/Office</t>
  </si>
  <si>
    <t>Religious Building</t>
  </si>
  <si>
    <t>FL kW/ton</t>
  </si>
  <si>
    <t>IPLV kW/ton</t>
  </si>
  <si>
    <t>Freezer</t>
  </si>
  <si>
    <t>Courthouse/Police Station/Penitentiary</t>
  </si>
  <si>
    <t>School/University</t>
  </si>
  <si>
    <t>Sports Arena</t>
  </si>
  <si>
    <t xml:space="preserve">Fire Stations
</t>
  </si>
  <si>
    <t>Town Hall</t>
  </si>
  <si>
    <t>Transportation</t>
  </si>
  <si>
    <t>Hotel/Motel</t>
  </si>
  <si>
    <t>Warehouse</t>
  </si>
  <si>
    <t xml:space="preserve">Library
</t>
  </si>
  <si>
    <t>Aerator</t>
  </si>
  <si>
    <t>Water Fixture</t>
  </si>
  <si>
    <t>Manufacturing</t>
  </si>
  <si>
    <t>Spray Valve</t>
  </si>
  <si>
    <t xml:space="preserve">Museum
</t>
  </si>
  <si>
    <t>Showerhead</t>
  </si>
  <si>
    <t>Lighting Power Density - Interior</t>
  </si>
  <si>
    <t>kWh Saved</t>
  </si>
  <si>
    <t>Lighting Power Density - Exterior</t>
  </si>
  <si>
    <t>Interior LPD Methods</t>
  </si>
  <si>
    <t xml:space="preserve">Religious Building
</t>
  </si>
  <si>
    <t>Space by Space Method</t>
  </si>
  <si>
    <t xml:space="preserve">Sports Arena
</t>
  </si>
  <si>
    <t>Post-Construction</t>
  </si>
  <si>
    <t>Program Type</t>
  </si>
  <si>
    <t xml:space="preserve">Space-by-Space Method Values
</t>
  </si>
  <si>
    <t>Note</t>
  </si>
  <si>
    <t>Space by Space SubTypes</t>
  </si>
  <si>
    <t>Large C&amp;I (&gt;100 kW average monthly peak demand)</t>
  </si>
  <si>
    <t>Enclosed</t>
  </si>
  <si>
    <t>Open Plan</t>
  </si>
  <si>
    <t>Classroom/Lecture/Training</t>
  </si>
  <si>
    <t>General Application</t>
  </si>
  <si>
    <t>For Penitentiary</t>
  </si>
  <si>
    <t>For Hotel/Motel</t>
  </si>
  <si>
    <t>For Performing Arts Center</t>
  </si>
  <si>
    <t>For Movie Theater</t>
  </si>
  <si>
    <t>For Gymnasium</t>
  </si>
  <si>
    <t>For Exercise Center</t>
  </si>
  <si>
    <t>For Convention Center</t>
  </si>
  <si>
    <t>For Religious Building</t>
  </si>
  <si>
    <t>For Sports Arena</t>
  </si>
  <si>
    <t>For Transportation</t>
  </si>
  <si>
    <t>First Three Floors</t>
  </si>
  <si>
    <t>Each Additional Floor</t>
  </si>
  <si>
    <t>For Hospital</t>
  </si>
  <si>
    <t>For Bar/Lounge</t>
  </si>
  <si>
    <t>For Family Dining</t>
  </si>
  <si>
    <t>For Manufacturing Facility</t>
  </si>
  <si>
    <t>Stairs - Active</t>
  </si>
  <si>
    <t>For Museum</t>
  </si>
  <si>
    <t>Sales Area (for accent lighting)</t>
  </si>
  <si>
    <t>Playing Area</t>
  </si>
  <si>
    <t>Exercise Area</t>
  </si>
  <si>
    <t>Courtroom</t>
  </si>
  <si>
    <t>Confinement Cells</t>
  </si>
  <si>
    <t>Judges’ Chambers</t>
  </si>
  <si>
    <t xml:space="preserve">Engine Room </t>
  </si>
  <si>
    <t>Sleeping Quarters</t>
  </si>
  <si>
    <t>Sorting Area</t>
  </si>
  <si>
    <t>Exhibit Space</t>
  </si>
  <si>
    <t xml:space="preserve">Card File and Cataloging </t>
  </si>
  <si>
    <t>Stacks</t>
  </si>
  <si>
    <t>Reading Area</t>
  </si>
  <si>
    <t>Emergency</t>
  </si>
  <si>
    <t>Recovery</t>
  </si>
  <si>
    <t>Nurses’ Station</t>
  </si>
  <si>
    <t>Exam/Treatment</t>
  </si>
  <si>
    <t>Pharmacy</t>
  </si>
  <si>
    <t>Patient Room</t>
  </si>
  <si>
    <t>Operating Room</t>
  </si>
  <si>
    <t>Nursery</t>
  </si>
  <si>
    <t>Medical Supply</t>
  </si>
  <si>
    <t>Physical Therapy</t>
  </si>
  <si>
    <t>Radiology</t>
  </si>
  <si>
    <t>Laundry - Washing</t>
  </si>
  <si>
    <t>Service/Repair</t>
  </si>
  <si>
    <t>Low Bay (&lt; 25 ft. Floor to Ceiling Height)</t>
  </si>
  <si>
    <t>High Bay (&gt; 25 ft. Floor to Ceiling Height)</t>
  </si>
  <si>
    <t>Detailed Manufacturing</t>
  </si>
  <si>
    <t xml:space="preserve">Equipment Room
</t>
  </si>
  <si>
    <t>Control Room</t>
  </si>
  <si>
    <t>Hotel/Motel Guest Rooms</t>
  </si>
  <si>
    <t>Living Quarters</t>
  </si>
  <si>
    <t xml:space="preserve">General Exhibition </t>
  </si>
  <si>
    <t>Restoration</t>
  </si>
  <si>
    <t>Banking Activity Area</t>
  </si>
  <si>
    <t xml:space="preserve">Worship Pulpit, Choir </t>
  </si>
  <si>
    <t>Fellowship Hall</t>
  </si>
  <si>
    <t>Mall Concourse</t>
  </si>
  <si>
    <t>Fine Material Storage</t>
  </si>
  <si>
    <t>Medium/Bulky Material Storage</t>
  </si>
  <si>
    <t>Parking Garage - Garage Area</t>
  </si>
  <si>
    <t>Airport - Concourse</t>
  </si>
  <si>
    <t>Air/Train/Bus - Baggage Area</t>
  </si>
  <si>
    <t>Terminal - Ticket Counter</t>
  </si>
  <si>
    <t>Table 382: Annual Operating Hours (AOH) and Coincidence Factors (CF)</t>
  </si>
  <si>
    <t>AOH</t>
  </si>
  <si>
    <t>All Building Types: Exit Signs</t>
  </si>
  <si>
    <t>Education: k-12, w/o Summer Session</t>
  </si>
  <si>
    <t>Education: College, University, Vocational, Day Care, and K-12 w/ Summer Session</t>
  </si>
  <si>
    <t>Food Sales: Non 24-hour Supermarket/Retail</t>
  </si>
  <si>
    <t>Food Sales: 24-hour Supermarket/Retail</t>
  </si>
  <si>
    <t>Food Service: Fast Food</t>
  </si>
  <si>
    <t>Food Service: Sit-down Restaurant</t>
  </si>
  <si>
    <t>Health Care: Out-patient</t>
  </si>
  <si>
    <t>Health Care: In-patient</t>
  </si>
  <si>
    <t>Lodging (Hotel/Motel/Dorm): Common Areas</t>
  </si>
  <si>
    <t>Lodging (Hotel/Motel/Dorm): Rooms</t>
  </si>
  <si>
    <t>Manufacturing – 1 and 2 Shift</t>
  </si>
  <si>
    <t>Manufacturing – 3 Shift</t>
  </si>
  <si>
    <t>Multi-family Housing: Common Areas</t>
  </si>
  <si>
    <t>Nursing &amp; Resident Care</t>
  </si>
  <si>
    <t>Outdoor</t>
  </si>
  <si>
    <t>Outdoor Athletic Fields</t>
  </si>
  <si>
    <t>Parking Structure</t>
  </si>
  <si>
    <t>Public Assembly</t>
  </si>
  <si>
    <t>Public Order and Safety</t>
  </si>
  <si>
    <t>Religious</t>
  </si>
  <si>
    <t>Retail: Excluding Malls &amp; Strip Centers</t>
  </si>
  <si>
    <t>Retail: Enclosed Mall</t>
  </si>
  <si>
    <t>Service (Excluding Food)</t>
  </si>
  <si>
    <t>Warehouse: Non-refrigerated</t>
  </si>
  <si>
    <t>Warehouse: Refrigerated</t>
  </si>
  <si>
    <t>Lighting Interactive Factors</t>
  </si>
  <si>
    <r>
      <t>IEF</t>
    </r>
    <r>
      <rPr>
        <vertAlign val="subscript"/>
        <sz val="11"/>
        <color theme="1"/>
        <rFont val="Calibri"/>
        <family val="2"/>
        <scheme val="minor"/>
      </rPr>
      <t>D</t>
    </r>
  </si>
  <si>
    <r>
      <t>IEF</t>
    </r>
    <r>
      <rPr>
        <vertAlign val="subscript"/>
        <sz val="11"/>
        <color theme="1"/>
        <rFont val="Calibri"/>
        <family val="2"/>
        <scheme val="minor"/>
      </rPr>
      <t>E</t>
    </r>
  </si>
  <si>
    <t>A/C with Electric Resistance Heat</t>
  </si>
  <si>
    <t>A/C with Heat Pump</t>
  </si>
  <si>
    <t>A/C with No/Unknown Heat</t>
  </si>
  <si>
    <t>Refrigerated Space - Med. Temp (33-41°F)</t>
  </si>
  <si>
    <t>Refrigerated Space - Low Temp (-10-10°F)</t>
  </si>
  <si>
    <t>Unconditioned</t>
  </si>
  <si>
    <t>LPD Incentives</t>
  </si>
  <si>
    <t>Incentive ($/kWh saved)</t>
  </si>
  <si>
    <t>Program</t>
  </si>
  <si>
    <t>Energy Cost ($/kWh)</t>
  </si>
  <si>
    <t>Subtype</t>
  </si>
  <si>
    <t>T/NT</t>
  </si>
  <si>
    <t>W Value</t>
  </si>
  <si>
    <t>Uncovered Parking Areas</t>
  </si>
  <si>
    <t>Parking lots &amp; drives</t>
  </si>
  <si>
    <t>square feet</t>
  </si>
  <si>
    <t>Walkways &lt; 10' wide</t>
  </si>
  <si>
    <t>linear feet</t>
  </si>
  <si>
    <r>
      <t xml:space="preserve">Walkways </t>
    </r>
    <r>
      <rPr>
        <sz val="11"/>
        <color theme="1"/>
        <rFont val="Calibri"/>
        <family val="2"/>
      </rPr>
      <t>≥</t>
    </r>
    <r>
      <rPr>
        <sz val="11"/>
        <color theme="1"/>
        <rFont val="Calibri"/>
        <family val="2"/>
        <scheme val="minor"/>
      </rPr>
      <t xml:space="preserve"> 10' wide</t>
    </r>
  </si>
  <si>
    <t>Plaza areas</t>
  </si>
  <si>
    <t>Special feature areas</t>
  </si>
  <si>
    <t>Stairways</t>
  </si>
  <si>
    <t>Building Entrances and Exits</t>
  </si>
  <si>
    <t>Main entries</t>
  </si>
  <si>
    <t>linear feet of door</t>
  </si>
  <si>
    <t>Other doors</t>
  </si>
  <si>
    <t>Canopies and Overhangs</t>
  </si>
  <si>
    <t>Outdoor Sales</t>
  </si>
  <si>
    <t>Open areas (incl. vehicle sales lots)</t>
  </si>
  <si>
    <t>Street frontage for car lots in addition to "open area" allowance</t>
  </si>
  <si>
    <t>Building Facades</t>
  </si>
  <si>
    <t>per area</t>
  </si>
  <si>
    <t>square feet of illuminated wall</t>
  </si>
  <si>
    <t>per linear foot</t>
  </si>
  <si>
    <t>linear feet of illuminated wall</t>
  </si>
  <si>
    <t>Automated Teller Machines and Night Depositories</t>
  </si>
  <si>
    <t xml:space="preserve">Location </t>
  </si>
  <si>
    <t>location</t>
  </si>
  <si>
    <t>Additional ATMs</t>
  </si>
  <si>
    <t>additional ATM</t>
  </si>
  <si>
    <t>Entrances and Gatehouse Inspection Stations at Guarded Facilities</t>
  </si>
  <si>
    <t>N/A</t>
  </si>
  <si>
    <t>square feet of uncovered area</t>
  </si>
  <si>
    <t>Loading Areas for Emergency Service Vehicles</t>
  </si>
  <si>
    <t>Drive-up Windows at Fast Food Restaurants</t>
  </si>
  <si>
    <t>drive-through</t>
  </si>
  <si>
    <t>Parking Near 24-hour Retail Entrances</t>
  </si>
  <si>
    <t>main entry</t>
  </si>
  <si>
    <t>Named Range</t>
  </si>
  <si>
    <t xml:space="preserve">UncoveredParkingAreas
</t>
  </si>
  <si>
    <t xml:space="preserve">BuildingGrounds
</t>
  </si>
  <si>
    <t>BuildingEntrancesandExits</t>
  </si>
  <si>
    <t>CanopiesandOverhangs</t>
  </si>
  <si>
    <t xml:space="preserve">OutdoorSales
</t>
  </si>
  <si>
    <t>BuildingFacades</t>
  </si>
  <si>
    <t>AutomatedTellerMachinesandNightDepositories</t>
  </si>
  <si>
    <t>EntrancesandGatehouseInspectionStationsatGuardedFacilities</t>
  </si>
  <si>
    <t>LoadingAreasforEmergencyServiceVehicles</t>
  </si>
  <si>
    <t>DriveupWindowsatFastFoodRestaurants</t>
  </si>
  <si>
    <t xml:space="preserve">ParkingNear24hourRetailEntrances
</t>
  </si>
  <si>
    <t>Misc. (Low Flow)</t>
  </si>
  <si>
    <t>AC / Heat Pump Savings</t>
  </si>
  <si>
    <t>kWh/unit</t>
  </si>
  <si>
    <t>kW/unit</t>
  </si>
  <si>
    <t>ECM Fan (Refr.) Savings</t>
  </si>
  <si>
    <t>kWh</t>
  </si>
  <si>
    <t>kW</t>
  </si>
  <si>
    <t>Concat Name</t>
  </si>
  <si>
    <t>Water Temp</t>
  </si>
  <si>
    <t>Heater/Booster Fuel</t>
  </si>
  <si>
    <t>Aerator Savings (Building Type)</t>
  </si>
  <si>
    <t>Variable</t>
  </si>
  <si>
    <t>Description</t>
  </si>
  <si>
    <t>Value</t>
  </si>
  <si>
    <t>Notes</t>
  </si>
  <si>
    <t>F_B</t>
  </si>
  <si>
    <t>Baseline GPM</t>
  </si>
  <si>
    <t>GPM</t>
  </si>
  <si>
    <t>F_P</t>
  </si>
  <si>
    <t>Post GPM</t>
  </si>
  <si>
    <t>Days/year</t>
  </si>
  <si>
    <t>Operating hours</t>
  </si>
  <si>
    <t>Days</t>
  </si>
  <si>
    <t>average of all types</t>
  </si>
  <si>
    <t>Evap. Fan Controller Savings</t>
  </si>
  <si>
    <t>Heat Pump Savings</t>
  </si>
  <si>
    <t>kWh_clg</t>
  </si>
  <si>
    <t>kWh_htg</t>
  </si>
  <si>
    <t>kWh_total/unit</t>
  </si>
  <si>
    <t>Cooler (high-temp.)</t>
  </si>
  <si>
    <t>ASHC Savings</t>
  </si>
  <si>
    <t>kWh/lf</t>
  </si>
  <si>
    <t>kW/lf</t>
  </si>
  <si>
    <t>T_H</t>
  </si>
  <si>
    <t>Mixed Water Temp</t>
  </si>
  <si>
    <t>F</t>
  </si>
  <si>
    <t>Unknown</t>
  </si>
  <si>
    <t>T_supply</t>
  </si>
  <si>
    <t>Cold water supply temp</t>
  </si>
  <si>
    <t>average of 3, 4, 5</t>
  </si>
  <si>
    <t>Zone 3 - New Orleans</t>
  </si>
  <si>
    <t>Zone 4 - Baton Rouge</t>
  </si>
  <si>
    <t>Solid-Door Savings Savings (Concat Name)</t>
  </si>
  <si>
    <t>Size</t>
  </si>
  <si>
    <t>Zone 5 - Alexandria</t>
  </si>
  <si>
    <t>Zone 6 - Schreveport</t>
  </si>
  <si>
    <t>U</t>
  </si>
  <si>
    <t>Water Usage</t>
  </si>
  <si>
    <t>min/day/unit</t>
  </si>
  <si>
    <t>≥ 50 cu. ft.</t>
  </si>
  <si>
    <t>ECM Fan (HVAC) Savings</t>
  </si>
  <si>
    <t>ρ</t>
  </si>
  <si>
    <t>pounds/gallon water</t>
  </si>
  <si>
    <t>pounds/gal</t>
  </si>
  <si>
    <t>GREM Savings</t>
  </si>
  <si>
    <t>Convection Oven Savings (Size)</t>
  </si>
  <si>
    <t>C_p</t>
  </si>
  <si>
    <t>heat capacity</t>
  </si>
  <si>
    <t>btu/lb-F</t>
  </si>
  <si>
    <t>E_t</t>
  </si>
  <si>
    <t>thermal efficiency</t>
  </si>
  <si>
    <t>selected elec resistance</t>
  </si>
  <si>
    <t>electric resistance</t>
  </si>
  <si>
    <t>heat pump</t>
  </si>
  <si>
    <t>from v7</t>
  </si>
  <si>
    <t>P</t>
  </si>
  <si>
    <t>Hourly water consumption during peak as fraction of daily consumption</t>
  </si>
  <si>
    <t>Combination Oven Savings (Size)</t>
  </si>
  <si>
    <t>Steam Cooker (Size)</t>
  </si>
  <si>
    <t>3-Pan</t>
  </si>
  <si>
    <t>5-Pan</t>
  </si>
  <si>
    <t>6-Pan</t>
  </si>
  <si>
    <t>PRSV Savings (Building Type)</t>
  </si>
  <si>
    <t>Ice Making Heads, Batch Type</t>
  </si>
  <si>
    <t>Remote Condensing Units, Batch Type</t>
  </si>
  <si>
    <t>Remote Condensing Units, Continuous Type</t>
  </si>
  <si>
    <t>Self-Contained Units, Batch Type</t>
  </si>
  <si>
    <t>Self-Contained Units, Continuous Type</t>
  </si>
  <si>
    <t>average 3, 4, 5</t>
  </si>
  <si>
    <t>U_B</t>
  </si>
  <si>
    <t>gas</t>
  </si>
  <si>
    <t>Showerhead Savings (Building Type)</t>
  </si>
  <si>
    <t>shower duration</t>
  </si>
  <si>
    <t>min/shower</t>
  </si>
  <si>
    <t>N</t>
  </si>
  <si>
    <t>showers per day per showerhead</t>
  </si>
  <si>
    <t>shower/day/showerhead</t>
  </si>
  <si>
    <t>selected commercial</t>
  </si>
  <si>
    <t>Q_B</t>
  </si>
  <si>
    <t>Q_P</t>
  </si>
  <si>
    <t>F_HW</t>
  </si>
  <si>
    <t>Share of water from water heater</t>
  </si>
  <si>
    <t>104.4 as delivered temp</t>
  </si>
  <si>
    <t>T_HW</t>
  </si>
  <si>
    <t>Temp of water heated by DWH heater</t>
  </si>
  <si>
    <t>Days/Year</t>
  </si>
  <si>
    <t>Annual operating days</t>
  </si>
  <si>
    <t>days</t>
  </si>
  <si>
    <t>Peak Factor</t>
  </si>
  <si>
    <t>Project ID Number</t>
  </si>
  <si>
    <t>Include Snips of Documentation (Business Type, Invoice, specs)</t>
  </si>
  <si>
    <t>QC Checklist</t>
  </si>
  <si>
    <t>Advisor Review</t>
  </si>
  <si>
    <t>Engineering Review</t>
  </si>
  <si>
    <t>Is the building type accurate?</t>
  </si>
  <si>
    <t>Have snips been provided to prove that it meets program criteria?</t>
  </si>
  <si>
    <t>Are snips of the electrical and mechanical schedules included?</t>
  </si>
  <si>
    <t>Have the lighted areas been measured?</t>
  </si>
  <si>
    <t>Have the lighting wattages been tablulated?</t>
  </si>
  <si>
    <t>Are AHRI certificates provided for HVAC equipment?</t>
  </si>
  <si>
    <t>Has the project been reviewed for the following measures?</t>
  </si>
  <si>
    <t>Economizers</t>
  </si>
  <si>
    <t>Heat Pump Water Heaters</t>
  </si>
  <si>
    <t>ENERGY STAR Appliances</t>
  </si>
  <si>
    <t>Review and update the Entergy Solutions incentive calculator to the project's final scope.</t>
  </si>
  <si>
    <t>Prescriptive</t>
  </si>
  <si>
    <t>Total</t>
  </si>
  <si>
    <t xml:space="preserve">Attention to: </t>
  </si>
  <si>
    <t xml:space="preserve">Sign and date below. A typewritten signature is acceptable and will have the same effect as a pen signature. </t>
  </si>
  <si>
    <t>□ Updated Entergy Solutions incentive calculator (please also indicate any changes to the project scope in the email).</t>
  </si>
  <si>
    <t xml:space="preserve">□ Copies of itemized material invoices and labor/install invoices for the entire project. </t>
  </si>
  <si>
    <t>Insulation</t>
  </si>
  <si>
    <t>Variable-Speed Drives</t>
  </si>
  <si>
    <t>Is there process equipment?</t>
  </si>
  <si>
    <t>Windows</t>
  </si>
  <si>
    <t>If yes, probably a good opportuntity to reach out to Aptim Engineering for assistance</t>
  </si>
  <si>
    <t>Demand-Controlled Ventilation (HVAC, kitchen, parking garage)</t>
  </si>
  <si>
    <r>
      <t xml:space="preserve">HVAC Fans </t>
    </r>
    <r>
      <rPr>
        <b/>
        <sz val="15"/>
        <color theme="3"/>
        <rFont val="Calibri"/>
        <family val="2"/>
      </rPr>
      <t>≥</t>
    </r>
    <r>
      <rPr>
        <b/>
        <sz val="12.75"/>
        <color theme="3"/>
        <rFont val="Calibri"/>
        <family val="2"/>
      </rPr>
      <t xml:space="preserve"> </t>
    </r>
    <r>
      <rPr>
        <b/>
        <sz val="15"/>
        <color theme="3"/>
        <rFont val="Calibri"/>
        <family val="2"/>
        <scheme val="minor"/>
      </rPr>
      <t>10 hp are required to be controlled by VSD or similar</t>
    </r>
  </si>
  <si>
    <t>Cooling Tower Fans</t>
  </si>
  <si>
    <t>HVAC Supply/Return/Exhaust Fans (&lt; 10 hp)</t>
  </si>
  <si>
    <t>DCV may not be required for many space types</t>
  </si>
  <si>
    <t>Will need ASHRAE 62.1-2007 to verify which spaces are &lt; 10 people/1,000 ft2</t>
  </si>
  <si>
    <t>ELL Territory is either Climate Zone 2A or 3A</t>
  </si>
  <si>
    <t>Economizers are not required in ELL territory</t>
  </si>
  <si>
    <t>Insulation and Fenestration requirements of CZ2A and CZ3A</t>
  </si>
  <si>
    <t>Electric resistance water heaters are the baseline  for electric DHW</t>
  </si>
  <si>
    <t>Appendix G Baseline Descriptions</t>
  </si>
  <si>
    <t>Climate Zone 3A: VSD are required on cooling tower fans ≥ 7.5 hp</t>
  </si>
  <si>
    <t>Climate Zone 2A: VSDs are not required on cooling tower fans</t>
  </si>
  <si>
    <t>Index</t>
  </si>
  <si>
    <t>File Version</t>
  </si>
  <si>
    <t>Change</t>
  </si>
  <si>
    <t>Date</t>
  </si>
  <si>
    <t>Person</t>
  </si>
  <si>
    <t>Calculation Overhaul</t>
  </si>
  <si>
    <t>Rick Berry</t>
  </si>
  <si>
    <t>Updated protections</t>
  </si>
  <si>
    <t>Spencer Kurtz</t>
  </si>
  <si>
    <t>Deleted external references in Named Ranges</t>
  </si>
  <si>
    <t>Corrected Exterior LPD incentives and energy costs</t>
  </si>
  <si>
    <t>City</t>
  </si>
  <si>
    <t>State</t>
  </si>
  <si>
    <t>ZIP</t>
  </si>
  <si>
    <t>Trade Ally/Contractor</t>
  </si>
  <si>
    <t>Account Holder</t>
  </si>
  <si>
    <t>Third Party</t>
  </si>
  <si>
    <t>Other:</t>
  </si>
  <si>
    <t>Customer Address</t>
  </si>
  <si>
    <t>Job Site Address</t>
  </si>
  <si>
    <t>Alternate Address: (complete below)</t>
  </si>
  <si>
    <t>Payable To:</t>
  </si>
  <si>
    <t>Questions</t>
  </si>
  <si>
    <t>If Entergy Solutions has a question, we should contact:</t>
  </si>
  <si>
    <t>…</t>
  </si>
  <si>
    <t>Customer</t>
  </si>
  <si>
    <t>Trade Ally</t>
  </si>
  <si>
    <t>Bill Insert</t>
  </si>
  <si>
    <t>Event/Trade Show</t>
  </si>
  <si>
    <t>Direct Mail</t>
  </si>
  <si>
    <t>Search Engine</t>
  </si>
  <si>
    <t>Social Media</t>
  </si>
  <si>
    <t>Calling Campaign</t>
  </si>
  <si>
    <t>Utility Website</t>
  </si>
  <si>
    <t>Project Type</t>
  </si>
  <si>
    <t>Property Type</t>
  </si>
  <si>
    <t>Water Heating System</t>
  </si>
  <si>
    <t>Ownership</t>
  </si>
  <si>
    <t>Building Heating and Cooling System</t>
  </si>
  <si>
    <t>Electric</t>
  </si>
  <si>
    <t>Natural Gas</t>
  </si>
  <si>
    <t>Oil</t>
  </si>
  <si>
    <t>Propane</t>
  </si>
  <si>
    <t>Steam</t>
  </si>
  <si>
    <t>Not Applicable</t>
  </si>
  <si>
    <t>AC w/ Electric Resistance Heat</t>
  </si>
  <si>
    <t>AC w/ Natural Gas Heat</t>
  </si>
  <si>
    <t>AC w/ No Heat</t>
  </si>
  <si>
    <t>Heat Pump</t>
  </si>
  <si>
    <t>Rent/Lease</t>
  </si>
  <si>
    <t>Own</t>
  </si>
  <si>
    <t>Small Office</t>
  </si>
  <si>
    <t>Large Office</t>
  </si>
  <si>
    <t>Religious/Faith-based</t>
  </si>
  <si>
    <t>Gas Station</t>
  </si>
  <si>
    <t>Government</t>
  </si>
  <si>
    <t>Automotive Services</t>
  </si>
  <si>
    <t>IT/Data Ceter</t>
  </si>
  <si>
    <t>Industrial/Manufacturing</t>
  </si>
  <si>
    <t>Addition/Expansion of Existing Building</t>
  </si>
  <si>
    <t>New Building/Ground-Up Construction</t>
  </si>
  <si>
    <t>Gut Rehab</t>
  </si>
  <si>
    <t>Assembly/Entertainment/Recreation</t>
  </si>
  <si>
    <t>College/University</t>
  </si>
  <si>
    <t>Fast Food Restaurant</t>
  </si>
  <si>
    <t>Grocery/Convenience</t>
  </si>
  <si>
    <t>Health Clinic/Hospital</t>
  </si>
  <si>
    <t>Project Completion Date</t>
  </si>
  <si>
    <t>Entergy Louisiana electric bills</t>
  </si>
  <si>
    <t>Contact:</t>
  </si>
  <si>
    <t>Labor</t>
  </si>
  <si>
    <t>Taxes</t>
  </si>
  <si>
    <t>Other (disposal, permits, etc.)</t>
  </si>
  <si>
    <t>Incentive</t>
  </si>
  <si>
    <t>Incentive Bonus</t>
  </si>
  <si>
    <t>How did you hear about us? (Select the best one)</t>
  </si>
  <si>
    <t>Instruction Dropdowns</t>
  </si>
  <si>
    <t>Yes</t>
  </si>
  <si>
    <t>No</t>
  </si>
  <si>
    <t>Registered?</t>
  </si>
  <si>
    <t>Address</t>
  </si>
  <si>
    <t>*last 8 weeks</t>
  </si>
  <si>
    <t>How did you hear about us?</t>
  </si>
  <si>
    <t>Cut sheet or manufacturer spec sheet</t>
  </si>
  <si>
    <t>Who to contact with questions?</t>
  </si>
  <si>
    <t>Landlord/Property Mangement</t>
  </si>
  <si>
    <t>Jesse Bauer</t>
  </si>
  <si>
    <t>Added application tab, etc.</t>
  </si>
  <si>
    <t>HVAC: Confirm that EER/SEER/HSPF/COP meet program requirements</t>
  </si>
  <si>
    <t>Is there a bonus? If yes, unhide Summary columns E &amp; F</t>
  </si>
  <si>
    <t>Date:</t>
  </si>
  <si>
    <t>____  ____  -  ____  ____  ____  ____  ____  ____  ____</t>
  </si>
  <si>
    <t>Tax Entity: (Choose 1: Corporation, LLC, Sole Proprietor, Partnership, Exempt)</t>
  </si>
  <si>
    <t>Energy Advisor</t>
  </si>
  <si>
    <t>SMS Text</t>
  </si>
  <si>
    <t>Please complete all sections. Incomplete applications cannot 
be processed and will delay pre-approval.</t>
  </si>
  <si>
    <t>When submitting, go to the Printable Applications tab 
to sign and print.</t>
  </si>
  <si>
    <t>Please complete all sections. Incomplete applications cannot be processed and will delay pre-approval.</t>
  </si>
  <si>
    <t>A message from Entergy Louisiana, LLC©2023 Entergy Services, LLC.</t>
  </si>
  <si>
    <t>All Rights Reserved. The Entergy Solutions program is an energy</t>
  </si>
  <si>
    <t>efficiency program and not affiliated with Entergy Solutions, LLC.</t>
  </si>
  <si>
    <t>Manufacturer spec sheets ("cut sheets")</t>
  </si>
  <si>
    <t>All applicable construction scope of work documents, including mechanical and electrical design drawings</t>
  </si>
  <si>
    <t>Completed Entergy Solutions New Construction application</t>
  </si>
  <si>
    <t>Completed New Construction calculator</t>
  </si>
  <si>
    <t>Bonus Measure Number</t>
  </si>
  <si>
    <t>New Construction 2023 - v2.0</t>
  </si>
  <si>
    <t>Branding updated, updated small C&amp;I incentive cap</t>
  </si>
  <si>
    <t>Incentive Cap</t>
  </si>
  <si>
    <t>2023 Program application</t>
  </si>
  <si>
    <t>Entergy Louisiana customer/building owner - contact info</t>
  </si>
  <si>
    <t>Company name</t>
  </si>
  <si>
    <t>Street address</t>
  </si>
  <si>
    <t>ZIP code</t>
  </si>
  <si>
    <t>Customer name</t>
  </si>
  <si>
    <t>Phone number</t>
  </si>
  <si>
    <t>Email address</t>
  </si>
  <si>
    <t>Additional contact name</t>
  </si>
  <si>
    <t>Incentive paycheck payable to:</t>
  </si>
  <si>
    <t>Mail check to:</t>
  </si>
  <si>
    <t>Attn to:</t>
  </si>
  <si>
    <t>Baseline/energy code/building code description</t>
  </si>
  <si>
    <t>Proposed conditions/baseline improvement</t>
  </si>
  <si>
    <t>Project start date</t>
  </si>
  <si>
    <t>Project completion date</t>
  </si>
  <si>
    <t>Brief project description</t>
  </si>
  <si>
    <t>Project information</t>
  </si>
  <si>
    <t>Project type</t>
  </si>
  <si>
    <t>Property type</t>
  </si>
  <si>
    <t>Building HVAC system</t>
  </si>
  <si>
    <t>Water heating system</t>
  </si>
  <si>
    <t>Square footage</t>
  </si>
  <si>
    <t>Building/space type</t>
  </si>
  <si>
    <t>Current phase</t>
  </si>
  <si>
    <t>Small or large C&amp;I</t>
  </si>
  <si>
    <t>Job site business name</t>
  </si>
  <si>
    <t>Electric account number (if available)</t>
  </si>
  <si>
    <t>New account? (last 8 weeks)</t>
  </si>
  <si>
    <t>Job site street address</t>
  </si>
  <si>
    <t>Required documentation</t>
  </si>
  <si>
    <t>Project proposal</t>
  </si>
  <si>
    <t>LED lighting qualification</t>
  </si>
  <si>
    <t>HVAC qualification: A/C and heat pump units, chillers</t>
  </si>
  <si>
    <t>Commercial kitchen equipment qualification</t>
  </si>
  <si>
    <t>New construction lighting incentive eligibility requirements</t>
  </si>
  <si>
    <t>Measure number</t>
  </si>
  <si>
    <t>LPD method (Choose 1)</t>
  </si>
  <si>
    <t>Space sub-type 
(if using Space by Space)</t>
  </si>
  <si>
    <t>HVAC configuration</t>
  </si>
  <si>
    <t>Proposed total wattage</t>
  </si>
  <si>
    <t>Expected hours of operation</t>
  </si>
  <si>
    <t>Gross project cost</t>
  </si>
  <si>
    <t>Total incentive</t>
  </si>
  <si>
    <t>kWh savings</t>
  </si>
  <si>
    <t>$ savings</t>
  </si>
  <si>
    <t>kW reduction</t>
  </si>
  <si>
    <t>Net project cost</t>
  </si>
  <si>
    <t>Simple payback (years)</t>
  </si>
  <si>
    <r>
      <t>Proposed LPD
(W/ft</t>
    </r>
    <r>
      <rPr>
        <b/>
        <vertAlign val="superscript"/>
        <sz val="11"/>
        <color theme="0"/>
        <rFont val="Arial"/>
        <family val="2"/>
      </rPr>
      <t>2</t>
    </r>
    <r>
      <rPr>
        <b/>
        <sz val="11"/>
        <color theme="0"/>
        <rFont val="Arial"/>
        <family val="2"/>
      </rPr>
      <t>)</t>
    </r>
  </si>
  <si>
    <t>Exterior lighting</t>
  </si>
  <si>
    <t>Exterior space type</t>
  </si>
  <si>
    <t>Space sub-type</t>
  </si>
  <si>
    <t>Unit of quantity</t>
  </si>
  <si>
    <t>Allowance type</t>
  </si>
  <si>
    <t>Per-unit allowance (W)</t>
  </si>
  <si>
    <t>Total allowance (W)</t>
  </si>
  <si>
    <t>Installed flow rate (GPM)</t>
  </si>
  <si>
    <t>Cooler or freezer?</t>
  </si>
  <si>
    <t>Water temperature</t>
  </si>
  <si>
    <t>Equipment size</t>
  </si>
  <si>
    <t>Building type</t>
  </si>
  <si>
    <t>Size range (Volume, ft³)</t>
  </si>
  <si>
    <t>Water heater fuel/
booster heater fuel</t>
  </si>
  <si>
    <t>Equipment category</t>
  </si>
  <si>
    <t>Units installed</t>
  </si>
  <si>
    <t>Unit of measure</t>
  </si>
  <si>
    <t>Per-unit incentive</t>
  </si>
  <si>
    <t>Project completion notice</t>
  </si>
  <si>
    <t>(Unitemized costs)</t>
  </si>
  <si>
    <t xml:space="preserve">Entergy customer information </t>
  </si>
  <si>
    <t>Trade ally information</t>
  </si>
  <si>
    <t xml:space="preserve">Update the payee information (if applicable) </t>
  </si>
  <si>
    <t>Completed energy efficiency measures summary</t>
  </si>
  <si>
    <t>Entergy Solutions project number:</t>
  </si>
  <si>
    <t>Installation date:</t>
  </si>
  <si>
    <t>Project site address:</t>
  </si>
  <si>
    <t>Company name:</t>
  </si>
  <si>
    <t>Measure type</t>
  </si>
  <si>
    <t>Interior lighting</t>
  </si>
  <si>
    <t>Unitemized costs</t>
  </si>
  <si>
    <t>Update the install measures</t>
  </si>
  <si>
    <t>Completion</t>
  </si>
  <si>
    <t xml:space="preserve">Incentive check payable to: </t>
  </si>
  <si>
    <t xml:space="preserve">Mail to address: </t>
  </si>
  <si>
    <t>Tax ID number:</t>
  </si>
  <si>
    <t>Customer information</t>
  </si>
  <si>
    <t xml:space="preserve">Property information </t>
  </si>
  <si>
    <t xml:space="preserve">Customer contact information </t>
  </si>
  <si>
    <t xml:space="preserve">Additional project contact </t>
  </si>
  <si>
    <t xml:space="preserve">Project background information </t>
  </si>
  <si>
    <t>Job site information</t>
  </si>
  <si>
    <t xml:space="preserve">Payment information </t>
  </si>
  <si>
    <t xml:space="preserve">Required documentation </t>
  </si>
  <si>
    <t>Legal address</t>
  </si>
  <si>
    <t>Customer contact name</t>
  </si>
  <si>
    <t>TA contact name</t>
  </si>
  <si>
    <t>Contact name</t>
  </si>
  <si>
    <t>Primary phone number</t>
  </si>
  <si>
    <t>Incentive check payable to:</t>
  </si>
  <si>
    <t>New* Entergy account?</t>
  </si>
  <si>
    <t>Electric account number</t>
  </si>
  <si>
    <t>Job site address</t>
  </si>
  <si>
    <t>Work documents</t>
  </si>
  <si>
    <t>Completed calculator</t>
  </si>
  <si>
    <t>Project description</t>
  </si>
  <si>
    <t>Building heating and cooling system</t>
  </si>
  <si>
    <t>Customer's signature:</t>
  </si>
  <si>
    <t>Unitemized costs (not included in equipment costs)</t>
  </si>
  <si>
    <t>Incentive type</t>
  </si>
  <si>
    <t>Prescriptive measures</t>
  </si>
  <si>
    <t xml:space="preserve">Exterior lighting </t>
  </si>
  <si>
    <t>HVAC building type</t>
  </si>
  <si>
    <t>Equipment/labor costs</t>
  </si>
  <si>
    <t>Estimated annual kWh savings</t>
  </si>
  <si>
    <t>Requested incentive</t>
  </si>
  <si>
    <t>ENERGY STAR® (ES)</t>
  </si>
  <si>
    <t>Commercial kitchen equipment</t>
  </si>
  <si>
    <t>Customer contact info</t>
  </si>
  <si>
    <t>Primary trade ally/contractor - contact info</t>
  </si>
  <si>
    <t>Additional contact Iinfo (optional)</t>
  </si>
  <si>
    <t>Payment information</t>
  </si>
  <si>
    <t>Job site info</t>
  </si>
  <si>
    <t>Trade ally contact name</t>
  </si>
  <si>
    <t>Registered trade ally?</t>
  </si>
  <si>
    <t>Customer/trade ally must provide supplemental documentation/spec sheets to verify fixtures are ENERGY STAR® or DLC Listed</t>
  </si>
  <si>
    <t>Customer/trade ally must provide supporting documentation to verify the area/length take offs utilized to calculate the kW and LPD values with appropriate referencing.</t>
  </si>
  <si>
    <t>Contact email:</t>
  </si>
  <si>
    <t>City, State, ZIP:</t>
  </si>
  <si>
    <t xml:space="preserve">I, the below signed, certify that the stated energy efficient measure(s) was(were) completed at the project location identified above and that the actual costs reported represent the final and eligible costs of the approved project. I further certify that, to the best of my knowledge, the statements made on this notice are correct. I have submitted the appropriate supporting documentation including all project invoices. </t>
  </si>
  <si>
    <t>□ Completed and signed Entergy Solutions Project Completion Notice.</t>
  </si>
  <si>
    <t>□ Photo documentation or other installation verification documents as requested.</t>
  </si>
  <si>
    <t>Entergy Solutions application</t>
  </si>
  <si>
    <t>Fixtures must be DLC listed. Bulbs must be ENERGY STAR® certified.</t>
  </si>
  <si>
    <r>
      <t xml:space="preserve">Email the final project submittal to </t>
    </r>
    <r>
      <rPr>
        <b/>
        <sz val="11"/>
        <rFont val="Arial"/>
        <family val="2"/>
      </rPr>
      <t>entergysolutionsla@entergy.com</t>
    </r>
    <r>
      <rPr>
        <sz val="11"/>
        <rFont val="Arial"/>
        <family val="2"/>
      </rPr>
      <t xml:space="preserve"> with these attachments: </t>
    </r>
  </si>
  <si>
    <t>Entergy Solutions program is an energy efficiency program and not affiliated with Entergy Solutions, LLC.</t>
  </si>
  <si>
    <t>New Construction 2023 - v3.0</t>
  </si>
  <si>
    <t>Fire Station</t>
  </si>
  <si>
    <t>Updated for IECC 2021 energy code and removed customer bonus measure</t>
  </si>
  <si>
    <t>Class I facility</t>
  </si>
  <si>
    <t>Class II facility</t>
  </si>
  <si>
    <t>Class III facility</t>
  </si>
  <si>
    <t>Class IV facility</t>
  </si>
  <si>
    <t>Baseline - Path A</t>
  </si>
  <si>
    <t>A/C Unit (&lt; 5.42 Tons) - Min. efficiency of 12.3 EER/14.5 SEER2</t>
  </si>
  <si>
    <t>A/C Unit (&gt;= 20 Tons) - Min. efficiency 10.8 EER/13.5 SEER</t>
  </si>
  <si>
    <t>Heat Pump (5.42 - 11.24 Tons) - Min. efficiency 11.3 EER/14.5 SEER/12.0 HSPF</t>
  </si>
  <si>
    <t>Heat Pump (11.25 - 19.9 Tons) - Min. efficiency 10.9 EER/14.0 SEER/12.0 HSPF</t>
  </si>
  <si>
    <t>Heat Pump (&gt;= 20 Tons) - Min. efficiency 10.3 EER/13.0 SEER/12.0 HSPF</t>
  </si>
  <si>
    <t>Air Cooled Chiller &lt;150 Tons (min. eff. of 1.18 kW/ton full load and 0.76 kW/ton IPLV)</t>
  </si>
  <si>
    <t>Air Cooled Chiller &gt;=150 Tons (min. eff. of 1.18 kW/ton full load and 0.75 kW/ton IPLV)</t>
  </si>
  <si>
    <t>Water Cooled Screw/Scroll Chiller &lt;75 Tons (min. eff. of 0.74 kW/ton full load and 0.50 kW/ton IPLV)</t>
  </si>
  <si>
    <t>Water Cooled Screw/Scroll Chiller &gt;= 75 and &lt;150 Tons (min. eff. of 0.71 kW/ton full load and 0.49 kW/ton IPLV)</t>
  </si>
  <si>
    <t>Water Cooled Screw/Scroll Chiller &gt;=150 Tons and &lt;300 Tons (min. eff. of 0.65 kW/ton full load and 0.44 kW/ton IPLV)</t>
  </si>
  <si>
    <t>Water Cooled Screw/Scroll Chiller &gt;=300 Tons (min. eff. of 0.57 kW/ton full load and 0.41 kW/ton IPLV)</t>
  </si>
  <si>
    <t>Water Cooled Centrifugal &lt;300 Tons (min. eff. of 0.60 kW/ton full load and 0.40 kW/ton IPLV)</t>
  </si>
  <si>
    <t>Water Cooled Centrifugal &gt;=300 and &lt;600 Tons (min. eff. of 0.55 kW/ton full load and 0.38 kW/ton IPLV)</t>
  </si>
  <si>
    <t>Water Cooled Centrifugal &gt;=600 Tons (min. eff. of 0.55 kW/ton full load and 0.38 kW/ton IPLV)</t>
  </si>
  <si>
    <t>Heat Pump (&lt; 5.42 Tons) - Min. efficiency 12.3 EER/14.5 SEER2/8.0 HSPF2</t>
  </si>
  <si>
    <t>New Construction 2023 - v3.1</t>
  </si>
  <si>
    <t>Adjusted EFLH for HVAC measures</t>
  </si>
  <si>
    <t>Table F1: IECC 2021 Interior Lighting Power Densities (LPD) – Building Area Method</t>
  </si>
  <si>
    <t>Table F2: IECC 2021 Lighting Power Allowances for Building Exteriors</t>
  </si>
  <si>
    <t>Dining areas</t>
  </si>
  <si>
    <t>Pedestrian tunnels</t>
  </si>
  <si>
    <t>Landscaping</t>
  </si>
  <si>
    <t>Entry Canopies</t>
  </si>
  <si>
    <t>Sales Canopies (free-standing and attached)</t>
  </si>
  <si>
    <t>New Construction 2024 - v3.2</t>
  </si>
  <si>
    <t>Updated the Lighting Power Allowances for Building Exteriors Table and adjusted HVAC tables in the Savings Lookups tab</t>
  </si>
  <si>
    <t>Prescriptive Measures - A/C and Heat Pump Equipment</t>
  </si>
  <si>
    <t>Prescriptive Measures - Chiller Equipment</t>
  </si>
  <si>
    <t>Prescriptive Measures - Other Measures</t>
  </si>
  <si>
    <t>Prescriptive Measures - Low-Flow Equipment</t>
  </si>
  <si>
    <t>Prescriptive Measures - Refrigeration</t>
  </si>
  <si>
    <t>Prescriptive Measures - Commercial Kitchen Equipment</t>
  </si>
  <si>
    <t>Prescriptive Measures - Commercial Dishwashers</t>
  </si>
  <si>
    <t>SELECT A/C UNIT MEASURE FROM DROPDOWN BASED ON PROPOSED EQUIPMENT CAPACITY</t>
  </si>
  <si>
    <t>SELECT HEAT PUMP UNIT MEASURE FROM DROPDOWN BASED ON PROPOSED EQUIPMENT CAPACITY</t>
  </si>
  <si>
    <t>SELECT CHILLER UNIT MEASURE FROM DROPDOWN BASED ON PROPOSED EQUIPMENT TYPE AND CAPACITY</t>
  </si>
  <si>
    <t>LED replacements for downlight fixtures</t>
  </si>
  <si>
    <t>LED replacements for T12/T8/T5 and HID</t>
  </si>
  <si>
    <t>https://www.energystar.gov/productfinder/product/certified-light-fixtures/results</t>
  </si>
  <si>
    <t>All white indicates an input cell for the user.</t>
  </si>
  <si>
    <t>A message from Entergy Louisiana, LLC ©2025 Entergy Services, LLC. All Rights Reserved. The Entergy 
Solutions program is an energy efficiency program and not affiliated with Entergy Solutions, LLC.</t>
  </si>
  <si>
    <t>2025 Program application</t>
  </si>
  <si>
    <t>New Construction 2025 - v4.0</t>
  </si>
  <si>
    <t>Formatted for 2025</t>
  </si>
  <si>
    <t>A message from Entergy Louisiana, LLC © 2025 Entergy Services, LLC. All Rights Reserved. The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</si>
</sst>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
    <numFmt numFmtId="44" formatCode="_(&quot;$&quot;* #,##0.00_);_(&quot;$&quot;* \(#,##0.00\);_(&quot;$&quot;* &quot;-&quot;??_);_(@_)"/>
    <numFmt numFmtId="43" formatCode="_(* #,##0.00_);_(* \(#,##0.00\);_(* &quot;-&quot;??_);_(@_)"/>
    <numFmt numFmtId="164" formatCode="&quot;$&quot;#,##0.00"/>
    <numFmt numFmtId="165" formatCode="&quot;$&quot;#,##0"/>
    <numFmt numFmtId="166" formatCode="0.0"/>
    <numFmt numFmtId="167" formatCode="_(* #,##0_);_(* \(#,##0\);_(* &quot;-&quot;??_);_(@_)"/>
    <numFmt numFmtId="168" formatCode="0.000"/>
    <numFmt numFmtId="169" formatCode="_(* #,##0.0_);_(* \(#,##0.0\);_(* &quot;-&quot;??_);_(@_)"/>
    <numFmt numFmtId="170" formatCode="_(* #,##0.000_);_(* \(#,##0.000\);_(* &quot;-&quot;??_);_(@_)"/>
    <numFmt numFmtId="171" formatCode="#,##0.0"/>
    <numFmt numFmtId="172" formatCode="#,##0.000"/>
    <numFmt numFmtId="173" formatCode="#,##0.0_);\(#,##0.0\)"/>
  </numFmts>
  <fonts count="61" x14ac:knownFonts="1">
    <font>
      <sz val="11"/>
      <color theme="1"/>
      <name val="Calibri"/>
      <family val="2"/>
      <scheme val="minor"/>
    </font>
    <font>
      <u/>
      <sz val="11"/>
      <color theme="10"/>
      <name val="Calibri"/>
      <family val="2"/>
      <scheme val="minor"/>
    </font>
    <font>
      <sz val="11"/>
      <color theme="1"/>
      <name val="Calibri"/>
      <family val="2"/>
      <scheme val="minor"/>
    </font>
    <font>
      <sz val="11"/>
      <color rgb="FF3F3F76"/>
      <name val="Calibri"/>
      <family val="2"/>
      <scheme val="minor"/>
    </font>
    <font>
      <b/>
      <sz val="14"/>
      <color theme="0"/>
      <name val="Arial"/>
      <family val="2"/>
    </font>
    <font>
      <sz val="10"/>
      <color theme="1"/>
      <name val="Arial"/>
      <family val="2"/>
    </font>
    <font>
      <b/>
      <sz val="10"/>
      <color theme="1"/>
      <name val="Arial"/>
      <family val="2"/>
    </font>
    <font>
      <b/>
      <sz val="10"/>
      <color theme="0"/>
      <name val="Arial"/>
      <family val="2"/>
    </font>
    <font>
      <sz val="9"/>
      <color indexed="81"/>
      <name val="Tahoma"/>
      <family val="2"/>
    </font>
    <font>
      <sz val="11"/>
      <color theme="1"/>
      <name val="Arial"/>
      <family val="2"/>
    </font>
    <font>
      <b/>
      <sz val="11"/>
      <color theme="1"/>
      <name val="Arial"/>
      <family val="2"/>
    </font>
    <font>
      <b/>
      <sz val="12"/>
      <color theme="1"/>
      <name val="Arial"/>
      <family val="2"/>
    </font>
    <font>
      <u/>
      <sz val="11"/>
      <color theme="10"/>
      <name val="Arial"/>
      <family val="2"/>
    </font>
    <font>
      <b/>
      <sz val="11"/>
      <color rgb="FFFA7D00"/>
      <name val="Calibri"/>
      <family val="2"/>
      <scheme val="minor"/>
    </font>
    <font>
      <b/>
      <sz val="12"/>
      <color theme="1"/>
      <name val="Calibri"/>
      <family val="2"/>
      <scheme val="minor"/>
    </font>
    <font>
      <sz val="11"/>
      <color theme="0"/>
      <name val="Calibri"/>
      <family val="2"/>
      <scheme val="minor"/>
    </font>
    <font>
      <b/>
      <sz val="11"/>
      <color theme="0"/>
      <name val="Calibri"/>
      <family val="2"/>
      <scheme val="minor"/>
    </font>
    <font>
      <sz val="11"/>
      <color theme="1"/>
      <name val="Calibri"/>
      <family val="2"/>
    </font>
    <font>
      <vertAlign val="superscript"/>
      <sz val="11"/>
      <color theme="1"/>
      <name val="Calibri"/>
      <family val="2"/>
      <scheme val="minor"/>
    </font>
    <font>
      <b/>
      <vertAlign val="superscript"/>
      <sz val="11"/>
      <color theme="0"/>
      <name val="Calibri"/>
      <family val="2"/>
      <scheme val="minor"/>
    </font>
    <font>
      <b/>
      <sz val="18"/>
      <color theme="0"/>
      <name val="Calibri"/>
      <family val="2"/>
      <scheme val="minor"/>
    </font>
    <font>
      <vertAlign val="subscript"/>
      <sz val="11"/>
      <color theme="1"/>
      <name val="Calibri"/>
      <family val="2"/>
      <scheme val="minor"/>
    </font>
    <font>
      <b/>
      <sz val="15"/>
      <color theme="3"/>
      <name val="Calibri"/>
      <family val="2"/>
      <scheme val="minor"/>
    </font>
    <font>
      <b/>
      <sz val="9"/>
      <color indexed="81"/>
      <name val="Tahoma"/>
      <family val="2"/>
    </font>
    <font>
      <sz val="12"/>
      <color theme="1"/>
      <name val="Calibri"/>
      <family val="2"/>
      <scheme val="minor"/>
    </font>
    <font>
      <sz val="11"/>
      <color rgb="FF000000"/>
      <name val="Calibri"/>
      <family val="2"/>
    </font>
    <font>
      <sz val="10"/>
      <color theme="1"/>
      <name val="Arial Narrow"/>
      <family val="2"/>
    </font>
    <font>
      <sz val="14"/>
      <color theme="1"/>
      <name val="Arial Narrow"/>
      <family val="2"/>
    </font>
    <font>
      <sz val="10"/>
      <color theme="0" tint="-0.249977111117893"/>
      <name val="Arial Narrow"/>
      <family val="2"/>
    </font>
    <font>
      <b/>
      <sz val="10"/>
      <color theme="0" tint="-0.249977111117893"/>
      <name val="Arial Narrow"/>
      <family val="2"/>
    </font>
    <font>
      <u/>
      <sz val="11"/>
      <color theme="1"/>
      <name val="Calibri"/>
      <family val="2"/>
      <scheme val="minor"/>
    </font>
    <font>
      <b/>
      <sz val="15"/>
      <color theme="3"/>
      <name val="Calibri"/>
      <family val="2"/>
    </font>
    <font>
      <b/>
      <sz val="12.75"/>
      <color theme="3"/>
      <name val="Calibri"/>
      <family val="2"/>
    </font>
    <font>
      <sz val="10"/>
      <name val="Arial"/>
      <family val="2"/>
    </font>
    <font>
      <b/>
      <sz val="10"/>
      <name val="Arial"/>
      <family val="2"/>
    </font>
    <font>
      <sz val="11"/>
      <name val="Calibri"/>
      <family val="2"/>
      <scheme val="minor"/>
    </font>
    <font>
      <sz val="18"/>
      <color theme="1"/>
      <name val="Calibri Light"/>
      <family val="2"/>
      <scheme val="major"/>
    </font>
    <font>
      <sz val="10"/>
      <color theme="1"/>
      <name val="Calibri"/>
      <family val="2"/>
      <scheme val="minor"/>
    </font>
    <font>
      <b/>
      <sz val="18"/>
      <color theme="1"/>
      <name val="Calibri Light"/>
      <family val="2"/>
      <scheme val="major"/>
    </font>
    <font>
      <b/>
      <sz val="18"/>
      <color theme="0"/>
      <name val="Arial"/>
      <family val="2"/>
    </font>
    <font>
      <sz val="11"/>
      <color theme="0"/>
      <name val="Arial"/>
      <family val="2"/>
    </font>
    <font>
      <b/>
      <sz val="11"/>
      <color theme="0"/>
      <name val="Arial"/>
      <family val="2"/>
    </font>
    <font>
      <b/>
      <vertAlign val="superscript"/>
      <sz val="11"/>
      <color theme="0"/>
      <name val="Arial"/>
      <family val="2"/>
    </font>
    <font>
      <b/>
      <sz val="11"/>
      <name val="Arial"/>
      <family val="2"/>
    </font>
    <font>
      <b/>
      <sz val="11"/>
      <name val="Calibri"/>
      <family val="2"/>
      <scheme val="minor"/>
    </font>
    <font>
      <sz val="10"/>
      <color theme="0"/>
      <name val="Arial Narrow"/>
      <family val="2"/>
    </font>
    <font>
      <b/>
      <sz val="18"/>
      <name val="Arial"/>
      <family val="2"/>
    </font>
    <font>
      <sz val="11"/>
      <name val="Arial"/>
      <family val="2"/>
    </font>
    <font>
      <sz val="9"/>
      <color theme="1"/>
      <name val="Arial"/>
      <family val="2"/>
    </font>
    <font>
      <sz val="12"/>
      <name val="Arial"/>
      <family val="2"/>
    </font>
    <font>
      <sz val="12"/>
      <color theme="1"/>
      <name val="Arial"/>
      <family val="2"/>
    </font>
    <font>
      <sz val="12"/>
      <color rgb="FF003C71"/>
      <name val="Arial"/>
      <family val="2"/>
    </font>
    <font>
      <sz val="8"/>
      <color theme="1"/>
      <name val="Arial"/>
      <family val="2"/>
    </font>
    <font>
      <sz val="20"/>
      <color rgb="FF003C71"/>
      <name val="Arial"/>
      <family val="2"/>
    </font>
    <font>
      <b/>
      <sz val="20"/>
      <name val="Arial"/>
      <family val="2"/>
    </font>
    <font>
      <sz val="14"/>
      <name val="Arial"/>
      <family val="2"/>
    </font>
    <font>
      <sz val="12"/>
      <color theme="0"/>
      <name val="Arial"/>
      <family val="2"/>
    </font>
    <font>
      <b/>
      <sz val="12"/>
      <name val="Arial"/>
      <family val="2"/>
    </font>
    <font>
      <sz val="8"/>
      <name val="Arial"/>
      <family val="2"/>
    </font>
    <font>
      <b/>
      <sz val="11"/>
      <color theme="1"/>
      <name val="Calibri"/>
      <family val="2"/>
      <scheme val="minor"/>
    </font>
    <font>
      <b/>
      <sz val="11"/>
      <color theme="1"/>
      <name val="Calibri"/>
      <family val="2"/>
    </font>
  </fonts>
  <fills count="20">
    <fill>
      <patternFill patternType="none"/>
    </fill>
    <fill>
      <patternFill patternType="gray125"/>
    </fill>
    <fill>
      <patternFill patternType="solid">
        <fgColor rgb="FF00B0F0"/>
        <bgColor indexed="64"/>
      </patternFill>
    </fill>
    <fill>
      <patternFill patternType="solid">
        <fgColor theme="0" tint="-0.14999847407452621"/>
        <bgColor indexed="64"/>
      </patternFill>
    </fill>
    <fill>
      <patternFill patternType="solid">
        <fgColor theme="0" tint="-0.14996795556505021"/>
        <bgColor indexed="64"/>
      </patternFill>
    </fill>
    <fill>
      <patternFill patternType="mediumGray">
        <fgColor theme="7"/>
        <bgColor auto="1"/>
      </patternFill>
    </fill>
    <fill>
      <patternFill patternType="solid">
        <fgColor rgb="FFF2F2F2"/>
      </patternFill>
    </fill>
    <fill>
      <patternFill patternType="solid">
        <fgColor theme="5" tint="0.79998168889431442"/>
        <bgColor indexed="64"/>
      </patternFill>
    </fill>
    <fill>
      <patternFill patternType="solid">
        <fgColor theme="7" tint="0.79998168889431442"/>
        <bgColor indexed="64"/>
      </patternFill>
    </fill>
    <fill>
      <patternFill patternType="darkGray">
        <bgColor theme="0" tint="-0.14996795556505021"/>
      </patternFill>
    </fill>
    <fill>
      <patternFill patternType="solid">
        <fgColor theme="0" tint="-4.9989318521683403E-2"/>
        <bgColor indexed="64"/>
      </patternFill>
    </fill>
    <fill>
      <patternFill patternType="solid">
        <fgColor rgb="FFFFFF00"/>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0"/>
        <bgColor indexed="64"/>
      </patternFill>
    </fill>
    <fill>
      <patternFill patternType="solid">
        <fgColor rgb="FFED1653"/>
        <bgColor indexed="64"/>
      </patternFill>
    </fill>
    <fill>
      <patternFill patternType="solid">
        <fgColor theme="0" tint="-4.9989318521683403E-2"/>
        <bgColor theme="7"/>
      </patternFill>
    </fill>
    <fill>
      <patternFill patternType="solid">
        <fgColor theme="0" tint="-0.499984740745262"/>
        <bgColor indexed="64"/>
      </patternFill>
    </fill>
    <fill>
      <patternFill patternType="solid">
        <fgColor rgb="FFFF0000"/>
        <bgColor indexed="64"/>
      </patternFill>
    </fill>
  </fills>
  <borders count="57">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indexed="64"/>
      </left>
      <right/>
      <top style="thin">
        <color indexed="64"/>
      </top>
      <bottom/>
      <diagonal/>
    </border>
    <border>
      <left style="thin">
        <color rgb="FF000000"/>
      </left>
      <right/>
      <top style="thin">
        <color rgb="FF000000"/>
      </top>
      <bottom/>
      <diagonal/>
    </border>
    <border>
      <left/>
      <right/>
      <top/>
      <bottom style="thick">
        <color theme="4"/>
      </bottom>
      <diagonal/>
    </border>
    <border>
      <left style="thin">
        <color auto="1"/>
      </left>
      <right/>
      <top style="thin">
        <color rgb="FF000000"/>
      </top>
      <bottom/>
      <diagonal/>
    </border>
    <border>
      <left/>
      <right/>
      <top/>
      <bottom style="medium">
        <color rgb="FF003C71"/>
      </bottom>
      <diagonal/>
    </border>
    <border>
      <left/>
      <right style="thin">
        <color indexed="64"/>
      </right>
      <top style="thin">
        <color indexed="64"/>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style="medium">
        <color rgb="FF9CAF88"/>
      </left>
      <right/>
      <top style="medium">
        <color rgb="FF9CAF88"/>
      </top>
      <bottom style="thin">
        <color rgb="FF9CAF88"/>
      </bottom>
      <diagonal/>
    </border>
    <border>
      <left style="medium">
        <color rgb="FF9CAF88"/>
      </left>
      <right/>
      <top style="thin">
        <color rgb="FF9CAF88"/>
      </top>
      <bottom style="thin">
        <color rgb="FF9CAF88"/>
      </bottom>
      <diagonal/>
    </border>
    <border>
      <left style="medium">
        <color rgb="FF9CAF88"/>
      </left>
      <right/>
      <top style="thin">
        <color rgb="FF9CAF88"/>
      </top>
      <bottom style="thin">
        <color theme="0"/>
      </bottom>
      <diagonal/>
    </border>
    <border>
      <left style="medium">
        <color rgb="FF9CAF88"/>
      </left>
      <right/>
      <top/>
      <bottom style="thin">
        <color rgb="FF9CAF88"/>
      </bottom>
      <diagonal/>
    </border>
    <border>
      <left style="medium">
        <color rgb="FF9CAF88"/>
      </left>
      <right/>
      <top style="thin">
        <color rgb="FF9CAF88"/>
      </top>
      <bottom style="medium">
        <color rgb="FF9CAF88"/>
      </bottom>
      <diagonal/>
    </border>
    <border>
      <left style="thin">
        <color indexed="64"/>
      </left>
      <right/>
      <top/>
      <bottom style="thin">
        <color indexed="64"/>
      </bottom>
      <diagonal/>
    </border>
  </borders>
  <cellStyleXfs count="9">
    <xf numFmtId="0" fontId="0" fillId="0" borderId="0"/>
    <xf numFmtId="0" fontId="1" fillId="0" borderId="0" applyNumberFormat="0" applyFill="0" applyBorder="0" applyAlignment="0" applyProtection="0"/>
    <xf numFmtId="0" fontId="6" fillId="4" borderId="1" applyNumberFormat="0" applyFont="0" applyBorder="0" applyAlignment="0">
      <alignment horizontal="left" vertical="center"/>
    </xf>
    <xf numFmtId="0" fontId="3" fillId="5" borderId="17" applyNumberFormat="0" applyFont="0" applyBorder="0" applyAlignment="0" applyProtection="0"/>
    <xf numFmtId="43" fontId="2" fillId="0" borderId="0" applyFont="0" applyFill="0" applyBorder="0" applyAlignment="0" applyProtection="0"/>
    <xf numFmtId="0" fontId="13" fillId="6" borderId="17" applyNumberFormat="0" applyAlignment="0" applyProtection="0"/>
    <xf numFmtId="0" fontId="22" fillId="0" borderId="20" applyNumberFormat="0" applyFill="0" applyAlignment="0" applyProtection="0"/>
    <xf numFmtId="9" fontId="2" fillId="0" borderId="0" applyFont="0" applyFill="0" applyBorder="0" applyAlignment="0" applyProtection="0"/>
    <xf numFmtId="44" fontId="2" fillId="0" borderId="0" applyFont="0" applyFill="0" applyBorder="0" applyAlignment="0" applyProtection="0"/>
  </cellStyleXfs>
  <cellXfs count="415">
    <xf numFmtId="0" fontId="0" fillId="0" borderId="0" xfId="0"/>
    <xf numFmtId="0" fontId="5" fillId="0" borderId="0" xfId="0" applyFont="1" applyAlignment="1">
      <alignment horizontal="left" wrapText="1" indent="1"/>
    </xf>
    <xf numFmtId="0" fontId="5" fillId="0" borderId="0" xfId="0" applyFont="1" applyAlignment="1">
      <alignment horizontal="left" vertical="center" wrapText="1" indent="1"/>
    </xf>
    <xf numFmtId="0" fontId="0" fillId="0" borderId="0" xfId="0" applyAlignment="1">
      <alignment horizontal="center" vertical="center"/>
    </xf>
    <xf numFmtId="0" fontId="0" fillId="0" borderId="0" xfId="0" applyAlignment="1">
      <alignment vertical="center"/>
    </xf>
    <xf numFmtId="0" fontId="0" fillId="0" borderId="0" xfId="0" applyAlignment="1">
      <alignment vertical="center" wrapText="1"/>
    </xf>
    <xf numFmtId="0" fontId="9" fillId="0" borderId="0" xfId="0" applyFont="1"/>
    <xf numFmtId="0" fontId="9" fillId="3" borderId="1" xfId="0" applyFont="1" applyFill="1" applyBorder="1" applyAlignment="1">
      <alignment vertical="center" wrapText="1"/>
    </xf>
    <xf numFmtId="0" fontId="12" fillId="3" borderId="1" xfId="1" applyFont="1" applyFill="1" applyBorder="1" applyAlignment="1">
      <alignment vertical="center" wrapText="1"/>
    </xf>
    <xf numFmtId="0" fontId="0" fillId="0" borderId="1" xfId="0" applyBorder="1"/>
    <xf numFmtId="0" fontId="0" fillId="0" borderId="15" xfId="0" applyBorder="1"/>
    <xf numFmtId="0" fontId="17" fillId="0" borderId="1" xfId="0" applyFont="1" applyBorder="1"/>
    <xf numFmtId="4" fontId="17" fillId="0" borderId="1" xfId="0" applyNumberFormat="1" applyFont="1" applyBorder="1"/>
    <xf numFmtId="0" fontId="0" fillId="3" borderId="1" xfId="0" applyFill="1" applyBorder="1"/>
    <xf numFmtId="166" fontId="0" fillId="0" borderId="1" xfId="0" applyNumberFormat="1" applyBorder="1"/>
    <xf numFmtId="0" fontId="0" fillId="0" borderId="5" xfId="0" applyBorder="1"/>
    <xf numFmtId="0" fontId="0" fillId="0" borderId="7" xfId="0" applyBorder="1"/>
    <xf numFmtId="0" fontId="0" fillId="0" borderId="6" xfId="0" applyBorder="1"/>
    <xf numFmtId="0" fontId="0" fillId="7" borderId="1" xfId="0" quotePrefix="1" applyFill="1" applyBorder="1"/>
    <xf numFmtId="0" fontId="0" fillId="0" borderId="1" xfId="0" applyBorder="1" applyAlignment="1">
      <alignment wrapText="1"/>
    </xf>
    <xf numFmtId="0" fontId="0" fillId="3" borderId="1" xfId="0" applyFill="1" applyBorder="1" applyAlignment="1">
      <alignment horizontal="center"/>
    </xf>
    <xf numFmtId="0" fontId="5" fillId="8" borderId="1" xfId="0" applyFont="1" applyFill="1" applyBorder="1" applyAlignment="1">
      <alignment horizontal="center" vertical="center" wrapText="1"/>
    </xf>
    <xf numFmtId="3" fontId="0" fillId="0" borderId="1" xfId="0" applyNumberFormat="1" applyBorder="1" applyAlignment="1">
      <alignment horizontal="center"/>
    </xf>
    <xf numFmtId="2" fontId="0" fillId="0" borderId="1" xfId="0" applyNumberFormat="1" applyBorder="1" applyAlignment="1">
      <alignment horizontal="center"/>
    </xf>
    <xf numFmtId="164" fontId="0" fillId="0" borderId="1" xfId="0" applyNumberFormat="1" applyBorder="1"/>
    <xf numFmtId="0" fontId="0" fillId="3" borderId="15" xfId="0" applyFill="1" applyBorder="1"/>
    <xf numFmtId="0" fontId="24" fillId="0" borderId="0" xfId="0" applyFont="1" applyAlignment="1">
      <alignment horizontal="center" vertical="center"/>
    </xf>
    <xf numFmtId="0" fontId="0" fillId="4" borderId="1" xfId="2" applyFont="1" applyBorder="1" applyAlignment="1">
      <alignment horizontal="center" vertical="center" wrapText="1"/>
    </xf>
    <xf numFmtId="0" fontId="0" fillId="4" borderId="1" xfId="2" applyFont="1" applyBorder="1" applyAlignment="1">
      <alignment horizontal="left" vertical="center" wrapText="1"/>
    </xf>
    <xf numFmtId="164" fontId="0" fillId="3" borderId="1" xfId="0" applyNumberFormat="1" applyFill="1" applyBorder="1" applyAlignment="1">
      <alignment horizontal="center" vertical="center" wrapText="1"/>
    </xf>
    <xf numFmtId="0" fontId="0" fillId="4" borderId="1" xfId="2" applyFont="1" applyBorder="1" applyAlignment="1">
      <alignment horizontal="center" vertical="center"/>
    </xf>
    <xf numFmtId="0" fontId="22" fillId="0" borderId="20" xfId="6"/>
    <xf numFmtId="0" fontId="0" fillId="3" borderId="1" xfId="0" applyFill="1" applyBorder="1" applyAlignment="1">
      <alignment horizontal="centerContinuous"/>
    </xf>
    <xf numFmtId="0" fontId="0" fillId="0" borderId="1" xfId="0" applyBorder="1" applyAlignment="1">
      <alignment vertical="center"/>
    </xf>
    <xf numFmtId="0" fontId="25" fillId="3" borderId="1" xfId="0" applyFont="1" applyFill="1" applyBorder="1" applyAlignment="1">
      <alignment horizontal="left"/>
    </xf>
    <xf numFmtId="0" fontId="25" fillId="3" borderId="1" xfId="0" applyFont="1" applyFill="1" applyBorder="1" applyAlignment="1">
      <alignment horizontal="center"/>
    </xf>
    <xf numFmtId="2" fontId="0" fillId="0" borderId="1" xfId="0" applyNumberFormat="1" applyBorder="1"/>
    <xf numFmtId="0" fontId="26" fillId="0" borderId="0" xfId="0" applyFont="1"/>
    <xf numFmtId="0" fontId="27" fillId="0" borderId="0" xfId="0" applyFont="1"/>
    <xf numFmtId="0" fontId="26" fillId="3" borderId="1" xfId="0" applyFont="1" applyFill="1" applyBorder="1"/>
    <xf numFmtId="0" fontId="28" fillId="3" borderId="1" xfId="0" applyFont="1" applyFill="1" applyBorder="1"/>
    <xf numFmtId="0" fontId="28" fillId="0" borderId="0" xfId="0" applyFont="1"/>
    <xf numFmtId="0" fontId="26" fillId="0" borderId="1" xfId="0" applyFont="1" applyBorder="1"/>
    <xf numFmtId="169" fontId="26" fillId="0" borderId="1" xfId="0" applyNumberFormat="1" applyFont="1" applyBorder="1"/>
    <xf numFmtId="170" fontId="26" fillId="0" borderId="1" xfId="0" applyNumberFormat="1" applyFont="1" applyBorder="1"/>
    <xf numFmtId="166" fontId="26" fillId="0" borderId="1" xfId="0" applyNumberFormat="1" applyFont="1" applyBorder="1"/>
    <xf numFmtId="168" fontId="26" fillId="0" borderId="1" xfId="0" applyNumberFormat="1" applyFont="1" applyBorder="1"/>
    <xf numFmtId="3" fontId="26" fillId="0" borderId="1" xfId="0" applyNumberFormat="1" applyFont="1" applyBorder="1"/>
    <xf numFmtId="43" fontId="26" fillId="0" borderId="1" xfId="0" applyNumberFormat="1" applyFont="1" applyBorder="1"/>
    <xf numFmtId="0" fontId="29" fillId="0" borderId="1" xfId="0" applyFont="1" applyBorder="1"/>
    <xf numFmtId="0" fontId="28" fillId="0" borderId="1" xfId="0" applyFont="1" applyBorder="1"/>
    <xf numFmtId="0" fontId="28" fillId="0" borderId="1" xfId="0" applyFont="1" applyBorder="1" applyAlignment="1">
      <alignment horizontal="right"/>
    </xf>
    <xf numFmtId="167" fontId="26" fillId="0" borderId="1" xfId="0" applyNumberFormat="1" applyFont="1" applyBorder="1"/>
    <xf numFmtId="166" fontId="29" fillId="0" borderId="1" xfId="0" applyNumberFormat="1" applyFont="1" applyBorder="1"/>
    <xf numFmtId="166" fontId="28" fillId="0" borderId="1" xfId="0" applyNumberFormat="1" applyFont="1" applyBorder="1"/>
    <xf numFmtId="166" fontId="28" fillId="0" borderId="0" xfId="0" applyNumberFormat="1" applyFont="1"/>
    <xf numFmtId="169" fontId="29" fillId="0" borderId="1" xfId="0" applyNumberFormat="1" applyFont="1" applyBorder="1"/>
    <xf numFmtId="170" fontId="28" fillId="0" borderId="1" xfId="0" applyNumberFormat="1" applyFont="1" applyBorder="1"/>
    <xf numFmtId="4" fontId="26" fillId="0" borderId="1" xfId="0" applyNumberFormat="1" applyFont="1" applyBorder="1"/>
    <xf numFmtId="0" fontId="28" fillId="3" borderId="1" xfId="0" applyFont="1" applyFill="1" applyBorder="1" applyAlignment="1">
      <alignment horizontal="left"/>
    </xf>
    <xf numFmtId="0" fontId="28" fillId="3" borderId="1" xfId="0" applyFont="1" applyFill="1" applyBorder="1" applyAlignment="1">
      <alignment horizontal="left" wrapText="1"/>
    </xf>
    <xf numFmtId="2" fontId="29" fillId="0" borderId="1" xfId="0" applyNumberFormat="1" applyFont="1" applyBorder="1"/>
    <xf numFmtId="0" fontId="26" fillId="0" borderId="1" xfId="2" applyFont="1" applyFill="1" applyBorder="1" applyAlignment="1">
      <alignment horizontal="left" vertical="center" wrapText="1"/>
    </xf>
    <xf numFmtId="2" fontId="28" fillId="0" borderId="1" xfId="0" applyNumberFormat="1" applyFont="1" applyBorder="1"/>
    <xf numFmtId="0" fontId="26" fillId="0" borderId="1" xfId="0" applyFont="1" applyBorder="1" applyAlignment="1">
      <alignment horizontal="left"/>
    </xf>
    <xf numFmtId="0" fontId="28" fillId="0" borderId="1" xfId="0" applyFont="1" applyBorder="1" applyAlignment="1">
      <alignment wrapText="1"/>
    </xf>
    <xf numFmtId="43" fontId="29" fillId="0" borderId="1" xfId="0" applyNumberFormat="1" applyFont="1" applyBorder="1"/>
    <xf numFmtId="170" fontId="29" fillId="0" borderId="1" xfId="0" applyNumberFormat="1" applyFont="1" applyBorder="1"/>
    <xf numFmtId="0" fontId="28" fillId="3" borderId="1" xfId="0" applyFont="1" applyFill="1" applyBorder="1" applyAlignment="1">
      <alignment horizontal="right"/>
    </xf>
    <xf numFmtId="0" fontId="0" fillId="8" borderId="1" xfId="0" applyFill="1" applyBorder="1" applyAlignment="1">
      <alignment horizontal="center" vertical="center"/>
    </xf>
    <xf numFmtId="0" fontId="30" fillId="0" borderId="0" xfId="0" applyFont="1"/>
    <xf numFmtId="0" fontId="0" fillId="0" borderId="0" xfId="0" applyAlignment="1">
      <alignment horizontal="right"/>
    </xf>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0" xfId="0" applyAlignment="1">
      <alignment horizontal="right" vertical="center"/>
    </xf>
    <xf numFmtId="0" fontId="30" fillId="0" borderId="0" xfId="0" applyFont="1" applyAlignment="1">
      <alignment horizontal="right" vertical="center"/>
    </xf>
    <xf numFmtId="0" fontId="0" fillId="0" borderId="0" xfId="0" applyAlignment="1">
      <alignment horizontal="left" vertical="center"/>
    </xf>
    <xf numFmtId="171" fontId="0" fillId="0" borderId="1" xfId="0" applyNumberFormat="1" applyBorder="1"/>
    <xf numFmtId="14" fontId="0" fillId="0" borderId="1" xfId="0" applyNumberFormat="1" applyBorder="1"/>
    <xf numFmtId="171" fontId="0" fillId="0" borderId="0" xfId="0" applyNumberFormat="1"/>
    <xf numFmtId="164" fontId="13" fillId="6" borderId="1" xfId="5" applyNumberFormat="1" applyBorder="1" applyAlignment="1" applyProtection="1">
      <alignment horizontal="center" vertical="center" wrapText="1"/>
      <protection hidden="1"/>
    </xf>
    <xf numFmtId="164" fontId="13" fillId="6" borderId="1" xfId="5" applyNumberFormat="1" applyBorder="1" applyAlignment="1" applyProtection="1">
      <alignment horizontal="center" vertical="center"/>
      <protection hidden="1"/>
    </xf>
    <xf numFmtId="168" fontId="13" fillId="6" borderId="1" xfId="5" applyNumberFormat="1" applyBorder="1" applyAlignment="1" applyProtection="1">
      <alignment horizontal="center" vertical="center" wrapText="1"/>
      <protection hidden="1"/>
    </xf>
    <xf numFmtId="166" fontId="13" fillId="6" borderId="1" xfId="5" applyNumberFormat="1" applyBorder="1" applyAlignment="1" applyProtection="1">
      <alignment horizontal="center" vertical="center"/>
      <protection hidden="1"/>
    </xf>
    <xf numFmtId="0" fontId="5" fillId="0" borderId="0" xfId="0" applyFont="1" applyBorder="1" applyAlignment="1">
      <alignment horizontal="left" wrapText="1" indent="1"/>
    </xf>
    <xf numFmtId="0" fontId="6" fillId="3" borderId="1" xfId="0" applyFont="1" applyFill="1" applyBorder="1" applyAlignment="1">
      <alignment horizontal="left" vertical="center" wrapText="1" indent="1"/>
    </xf>
    <xf numFmtId="0" fontId="5" fillId="0" borderId="0" xfId="0" applyFont="1" applyAlignment="1">
      <alignment horizontal="left" indent="1"/>
    </xf>
    <xf numFmtId="0" fontId="5" fillId="0" borderId="15" xfId="0" applyFont="1" applyBorder="1" applyAlignment="1">
      <alignment horizontal="centerContinuous" vertical="center" wrapText="1"/>
    </xf>
    <xf numFmtId="0" fontId="5" fillId="0" borderId="16" xfId="0" applyFont="1" applyBorder="1" applyAlignment="1">
      <alignment horizontal="centerContinuous" vertical="center" wrapText="1"/>
    </xf>
    <xf numFmtId="0" fontId="5" fillId="0" borderId="1" xfId="0" applyFont="1" applyBorder="1" applyAlignment="1">
      <alignment horizontal="centerContinuous" vertical="center" wrapText="1"/>
    </xf>
    <xf numFmtId="0" fontId="6" fillId="0" borderId="15" xfId="0" applyFont="1" applyBorder="1" applyAlignment="1">
      <alignment horizontal="centerContinuous" vertical="center" wrapText="1"/>
    </xf>
    <xf numFmtId="0" fontId="6" fillId="0" borderId="16" xfId="0" applyFont="1" applyBorder="1" applyAlignment="1">
      <alignment horizontal="centerContinuous" vertical="center" wrapText="1"/>
    </xf>
    <xf numFmtId="0" fontId="5" fillId="0" borderId="23" xfId="0" applyFont="1" applyBorder="1" applyAlignment="1">
      <alignment horizontal="centerContinuous" vertical="center" wrapText="1"/>
    </xf>
    <xf numFmtId="9" fontId="0" fillId="3" borderId="1" xfId="7" applyFont="1" applyFill="1" applyBorder="1" applyAlignment="1" applyProtection="1">
      <alignment horizontal="center" vertical="center"/>
      <protection hidden="1"/>
    </xf>
    <xf numFmtId="0" fontId="5" fillId="0" borderId="1" xfId="0" applyFont="1" applyBorder="1" applyAlignment="1">
      <alignment horizontal="left" indent="1"/>
    </xf>
    <xf numFmtId="0" fontId="5" fillId="0" borderId="1" xfId="0" applyFont="1" applyBorder="1" applyAlignment="1">
      <alignment horizontal="left" wrapText="1" indent="1"/>
    </xf>
    <xf numFmtId="0" fontId="5" fillId="0" borderId="1" xfId="0" applyFont="1" applyFill="1" applyBorder="1" applyAlignment="1">
      <alignment horizontal="left" vertical="center" wrapText="1"/>
    </xf>
    <xf numFmtId="167" fontId="13" fillId="6" borderId="1" xfId="5" applyNumberFormat="1" applyBorder="1" applyAlignment="1" applyProtection="1">
      <alignment horizontal="center" vertical="center"/>
      <protection hidden="1"/>
    </xf>
    <xf numFmtId="167" fontId="0" fillId="0" borderId="0" xfId="0" applyNumberFormat="1" applyAlignment="1">
      <alignment vertical="center"/>
    </xf>
    <xf numFmtId="164" fontId="0" fillId="0" borderId="0" xfId="0" applyNumberFormat="1"/>
    <xf numFmtId="0" fontId="5" fillId="0" borderId="1" xfId="0" applyFont="1" applyBorder="1" applyAlignment="1">
      <alignment horizontal="left" vertical="center" wrapText="1"/>
    </xf>
    <xf numFmtId="0" fontId="6" fillId="0" borderId="24" xfId="2" applyFill="1" applyBorder="1" applyAlignment="1">
      <alignment horizontal="left" vertical="center" wrapText="1" indent="1"/>
    </xf>
    <xf numFmtId="0" fontId="5" fillId="0" borderId="24" xfId="3" applyFont="1" applyFill="1" applyBorder="1" applyAlignment="1" applyProtection="1">
      <alignment horizontal="center" vertical="center" wrapText="1"/>
      <protection locked="0"/>
    </xf>
    <xf numFmtId="0" fontId="0" fillId="11" borderId="1" xfId="7" applyNumberFormat="1" applyFont="1" applyFill="1" applyBorder="1" applyAlignment="1" applyProtection="1">
      <alignment horizontal="center" vertical="center"/>
      <protection hidden="1"/>
    </xf>
    <xf numFmtId="0" fontId="0" fillId="0" borderId="1" xfId="0" applyNumberFormat="1" applyBorder="1"/>
    <xf numFmtId="0" fontId="0" fillId="13" borderId="1" xfId="7" applyNumberFormat="1" applyFont="1" applyFill="1" applyBorder="1" applyProtection="1"/>
    <xf numFmtId="165" fontId="0" fillId="14" borderId="1" xfId="7" applyNumberFormat="1" applyFont="1" applyFill="1" applyBorder="1"/>
    <xf numFmtId="0" fontId="0" fillId="4" borderId="1" xfId="2" applyFont="1" applyBorder="1" applyAlignment="1" applyProtection="1">
      <alignment horizontal="center" vertical="center" wrapText="1"/>
      <protection hidden="1"/>
    </xf>
    <xf numFmtId="0" fontId="5" fillId="0" borderId="0" xfId="0" applyFont="1" applyAlignment="1">
      <alignment horizontal="left" wrapText="1" indent="1"/>
    </xf>
    <xf numFmtId="0" fontId="5" fillId="15" borderId="0" xfId="0" applyFont="1" applyFill="1" applyAlignment="1">
      <alignment horizontal="left" wrapText="1" indent="1"/>
    </xf>
    <xf numFmtId="0" fontId="5" fillId="16" borderId="0" xfId="0" applyFont="1" applyFill="1" applyAlignment="1">
      <alignment horizontal="left" wrapText="1" indent="1"/>
    </xf>
    <xf numFmtId="0" fontId="4" fillId="16" borderId="1" xfId="0" applyFont="1" applyFill="1" applyBorder="1" applyAlignment="1">
      <alignment horizontal="centerContinuous" vertical="center" wrapText="1"/>
    </xf>
    <xf numFmtId="0" fontId="6" fillId="10" borderId="1" xfId="2" applyFill="1" applyAlignment="1">
      <alignment horizontal="left" vertical="center" wrapText="1" indent="1"/>
    </xf>
    <xf numFmtId="0" fontId="6" fillId="10" borderId="5" xfId="2" applyFill="1" applyBorder="1" applyAlignment="1">
      <alignment horizontal="left" vertical="center" wrapText="1" indent="1"/>
    </xf>
    <xf numFmtId="0" fontId="6" fillId="10" borderId="1" xfId="0" applyFont="1" applyFill="1" applyBorder="1" applyAlignment="1">
      <alignment horizontal="left" vertical="center" wrapText="1" indent="1"/>
    </xf>
    <xf numFmtId="0" fontId="6" fillId="10" borderId="1" xfId="0" applyFont="1" applyFill="1" applyBorder="1" applyAlignment="1">
      <alignment horizontal="left" vertical="center" indent="1"/>
    </xf>
    <xf numFmtId="0" fontId="6" fillId="10" borderId="1" xfId="2" applyFill="1" applyBorder="1" applyAlignment="1">
      <alignment horizontal="left" vertical="center" wrapText="1" indent="1"/>
    </xf>
    <xf numFmtId="0" fontId="6" fillId="10" borderId="1" xfId="0" applyFont="1" applyFill="1" applyBorder="1" applyAlignment="1">
      <alignment horizontal="left" vertical="center" wrapText="1"/>
    </xf>
    <xf numFmtId="0" fontId="34" fillId="10" borderId="1" xfId="0" applyFont="1" applyFill="1" applyBorder="1" applyAlignment="1">
      <alignment horizontal="left" vertical="center" wrapText="1" indent="1"/>
    </xf>
    <xf numFmtId="0" fontId="5" fillId="15" borderId="1" xfId="3" applyFont="1" applyFill="1" applyBorder="1" applyAlignment="1" applyProtection="1">
      <alignment horizontal="center" vertical="center" wrapText="1"/>
      <protection locked="0"/>
    </xf>
    <xf numFmtId="0" fontId="35" fillId="15" borderId="5" xfId="1" applyFont="1" applyFill="1" applyBorder="1" applyAlignment="1" applyProtection="1">
      <alignment horizontal="center" vertical="center" wrapText="1"/>
      <protection locked="0"/>
    </xf>
    <xf numFmtId="0" fontId="5" fillId="15" borderId="7" xfId="3" applyFont="1" applyFill="1" applyBorder="1" applyAlignment="1" applyProtection="1">
      <alignment horizontal="center" vertical="center" wrapText="1"/>
      <protection locked="0"/>
    </xf>
    <xf numFmtId="0" fontId="35" fillId="15" borderId="1" xfId="1" applyFont="1" applyFill="1" applyBorder="1" applyAlignment="1" applyProtection="1">
      <alignment horizontal="center" vertical="center" wrapText="1"/>
      <protection locked="0"/>
    </xf>
    <xf numFmtId="0" fontId="5" fillId="17" borderId="1" xfId="0" applyFont="1" applyFill="1" applyBorder="1" applyAlignment="1">
      <alignment horizontal="center" vertical="center" wrapText="1"/>
    </xf>
    <xf numFmtId="166" fontId="6" fillId="10" borderId="1" xfId="2" applyNumberFormat="1" applyFill="1" applyAlignment="1" applyProtection="1">
      <alignment horizontal="left" vertical="center" wrapText="1" indent="1"/>
      <protection hidden="1"/>
    </xf>
    <xf numFmtId="0" fontId="4" fillId="16" borderId="14" xfId="0" applyFont="1" applyFill="1" applyBorder="1" applyAlignment="1">
      <alignment vertical="center" wrapText="1"/>
    </xf>
    <xf numFmtId="0" fontId="7" fillId="16" borderId="1" xfId="0" applyFont="1" applyFill="1" applyBorder="1" applyAlignment="1">
      <alignment horizontal="left" vertical="center"/>
    </xf>
    <xf numFmtId="0" fontId="7" fillId="16" borderId="8" xfId="0" applyFont="1" applyFill="1" applyBorder="1" applyAlignment="1">
      <alignment horizontal="center" vertical="center"/>
    </xf>
    <xf numFmtId="0" fontId="7" fillId="16" borderId="2" xfId="0" applyFont="1" applyFill="1" applyBorder="1" applyAlignment="1">
      <alignment horizontal="center" vertical="center" wrapText="1"/>
    </xf>
    <xf numFmtId="0" fontId="16" fillId="16" borderId="4" xfId="0" applyFont="1" applyFill="1" applyBorder="1" applyAlignment="1">
      <alignment horizontal="center" vertical="center" wrapText="1"/>
    </xf>
    <xf numFmtId="0" fontId="7" fillId="16" borderId="8" xfId="0" applyFont="1" applyFill="1" applyBorder="1" applyAlignment="1">
      <alignment horizontal="left" vertical="center"/>
    </xf>
    <xf numFmtId="0" fontId="7" fillId="16" borderId="9" xfId="0" applyFont="1" applyFill="1" applyBorder="1" applyAlignment="1">
      <alignment horizontal="left" vertical="center"/>
    </xf>
    <xf numFmtId="0" fontId="7" fillId="16" borderId="11" xfId="0" applyFont="1" applyFill="1" applyBorder="1" applyAlignment="1">
      <alignment horizontal="left" vertical="center"/>
    </xf>
    <xf numFmtId="0" fontId="15" fillId="16" borderId="1" xfId="0" applyFont="1" applyFill="1" applyBorder="1" applyAlignment="1">
      <alignment horizontal="centerContinuous"/>
    </xf>
    <xf numFmtId="0" fontId="16" fillId="16" borderId="1" xfId="0" applyFont="1" applyFill="1" applyBorder="1" applyAlignment="1">
      <alignment horizontal="center" vertical="center" wrapText="1"/>
    </xf>
    <xf numFmtId="0" fontId="16" fillId="18" borderId="1" xfId="0" applyFont="1" applyFill="1" applyBorder="1" applyAlignment="1">
      <alignment horizontal="center" vertical="center" wrapText="1"/>
    </xf>
    <xf numFmtId="169" fontId="14" fillId="12" borderId="1" xfId="4" applyNumberFormat="1" applyFont="1" applyFill="1" applyBorder="1" applyAlignment="1" applyProtection="1">
      <alignment horizontal="center" vertical="center"/>
      <protection hidden="1"/>
    </xf>
    <xf numFmtId="170" fontId="14" fillId="12" borderId="1" xfId="4" applyNumberFormat="1" applyFont="1" applyFill="1" applyBorder="1" applyAlignment="1" applyProtection="1">
      <alignment horizontal="center" vertical="center"/>
      <protection hidden="1"/>
    </xf>
    <xf numFmtId="166" fontId="14" fillId="12" borderId="1" xfId="0" applyNumberFormat="1" applyFont="1" applyFill="1" applyBorder="1" applyAlignment="1" applyProtection="1">
      <alignment horizontal="center" vertical="center"/>
      <protection hidden="1"/>
    </xf>
    <xf numFmtId="0" fontId="20" fillId="16" borderId="1" xfId="0" applyFont="1" applyFill="1" applyBorder="1" applyAlignment="1">
      <alignment horizontal="centerContinuous"/>
    </xf>
    <xf numFmtId="0" fontId="0" fillId="12" borderId="1" xfId="2" applyFont="1" applyFill="1" applyBorder="1" applyAlignment="1" applyProtection="1">
      <alignment horizontal="center" vertical="center" wrapText="1"/>
      <protection hidden="1"/>
    </xf>
    <xf numFmtId="0" fontId="0" fillId="12" borderId="1" xfId="2" applyFont="1" applyFill="1" applyBorder="1" applyAlignment="1">
      <alignment horizontal="center" vertical="center" wrapText="1"/>
    </xf>
    <xf numFmtId="0" fontId="0" fillId="10" borderId="1" xfId="0" applyFill="1" applyBorder="1" applyAlignment="1" applyProtection="1">
      <alignment vertical="center"/>
      <protection locked="0"/>
    </xf>
    <xf numFmtId="0" fontId="0" fillId="10" borderId="1" xfId="0" applyFill="1" applyBorder="1" applyAlignment="1" applyProtection="1">
      <alignment vertical="center" wrapText="1"/>
      <protection locked="0"/>
    </xf>
    <xf numFmtId="3" fontId="0" fillId="10" borderId="1" xfId="0" applyNumberFormat="1" applyFill="1" applyBorder="1" applyAlignment="1" applyProtection="1">
      <alignment horizontal="center" vertical="center"/>
      <protection locked="0"/>
    </xf>
    <xf numFmtId="0" fontId="0" fillId="10" borderId="1" xfId="0" applyFill="1" applyBorder="1" applyAlignment="1" applyProtection="1">
      <alignment horizontal="center" vertical="center"/>
      <protection locked="0"/>
    </xf>
    <xf numFmtId="3" fontId="0" fillId="12" borderId="1" xfId="0" applyNumberFormat="1" applyFill="1" applyBorder="1" applyAlignment="1" applyProtection="1">
      <alignment horizontal="center" vertical="center"/>
      <protection hidden="1"/>
    </xf>
    <xf numFmtId="0" fontId="0" fillId="12" borderId="1" xfId="0" applyFill="1" applyBorder="1"/>
    <xf numFmtId="2" fontId="0" fillId="12" borderId="1" xfId="0" applyNumberFormat="1" applyFill="1" applyBorder="1" applyAlignment="1" applyProtection="1">
      <alignment horizontal="center" vertical="center"/>
      <protection hidden="1"/>
    </xf>
    <xf numFmtId="164" fontId="13" fillId="12" borderId="1" xfId="5" applyNumberFormat="1" applyFill="1" applyBorder="1" applyAlignment="1" applyProtection="1">
      <alignment horizontal="center" vertical="center" wrapText="1"/>
      <protection hidden="1"/>
    </xf>
    <xf numFmtId="169" fontId="13" fillId="12" borderId="1" xfId="5" applyNumberFormat="1" applyFill="1" applyBorder="1" applyAlignment="1" applyProtection="1">
      <alignment horizontal="center" vertical="center"/>
      <protection hidden="1"/>
    </xf>
    <xf numFmtId="164" fontId="13" fillId="12" borderId="1" xfId="5" applyNumberFormat="1" applyFill="1" applyBorder="1" applyAlignment="1" applyProtection="1">
      <alignment horizontal="center" vertical="center"/>
      <protection hidden="1"/>
    </xf>
    <xf numFmtId="170" fontId="13" fillId="12" borderId="1" xfId="5" applyNumberFormat="1" applyFill="1" applyBorder="1" applyAlignment="1" applyProtection="1">
      <alignment horizontal="center" vertical="center"/>
      <protection hidden="1"/>
    </xf>
    <xf numFmtId="166" fontId="13" fillId="12" borderId="1" xfId="5" applyNumberFormat="1" applyFill="1" applyBorder="1" applyAlignment="1" applyProtection="1">
      <alignment horizontal="center" vertical="center"/>
      <protection hidden="1"/>
    </xf>
    <xf numFmtId="0" fontId="39" fillId="16" borderId="1" xfId="0" applyFont="1" applyFill="1" applyBorder="1" applyAlignment="1">
      <alignment horizontal="centerContinuous"/>
    </xf>
    <xf numFmtId="0" fontId="40" fillId="16" borderId="1" xfId="0" applyFont="1" applyFill="1" applyBorder="1" applyAlignment="1">
      <alignment horizontal="centerContinuous"/>
    </xf>
    <xf numFmtId="0" fontId="41" fillId="16" borderId="1" xfId="0" applyFont="1" applyFill="1" applyBorder="1" applyAlignment="1">
      <alignment horizontal="center" vertical="center" wrapText="1"/>
    </xf>
    <xf numFmtId="0" fontId="9" fillId="0" borderId="0" xfId="0" applyFont="1" applyAlignment="1">
      <alignment vertical="center" wrapText="1"/>
    </xf>
    <xf numFmtId="0" fontId="10" fillId="9" borderId="1" xfId="0" applyFont="1" applyFill="1" applyBorder="1" applyProtection="1">
      <protection hidden="1"/>
    </xf>
    <xf numFmtId="169" fontId="11" fillId="12" borderId="1" xfId="4" applyNumberFormat="1" applyFont="1" applyFill="1" applyBorder="1" applyAlignment="1" applyProtection="1">
      <alignment horizontal="center" vertical="center"/>
      <protection hidden="1"/>
    </xf>
    <xf numFmtId="170" fontId="11" fillId="12" borderId="1" xfId="4" applyNumberFormat="1" applyFont="1" applyFill="1" applyBorder="1" applyAlignment="1" applyProtection="1">
      <alignment horizontal="center" vertical="center"/>
      <protection hidden="1"/>
    </xf>
    <xf numFmtId="166" fontId="11" fillId="12" borderId="1" xfId="0" applyNumberFormat="1" applyFont="1" applyFill="1" applyBorder="1" applyAlignment="1" applyProtection="1">
      <alignment horizontal="center" vertical="center"/>
      <protection hidden="1"/>
    </xf>
    <xf numFmtId="0" fontId="9" fillId="12" borderId="1" xfId="2" applyFont="1" applyFill="1" applyBorder="1" applyAlignment="1">
      <alignment horizontal="center" vertical="center" wrapText="1"/>
    </xf>
    <xf numFmtId="0" fontId="9" fillId="12" borderId="1" xfId="0" applyFont="1" applyFill="1" applyBorder="1" applyAlignment="1" applyProtection="1">
      <alignment horizontal="center" vertical="center" wrapText="1"/>
      <protection hidden="1"/>
    </xf>
    <xf numFmtId="2" fontId="9" fillId="12" borderId="1" xfId="0" applyNumberFormat="1" applyFont="1" applyFill="1" applyBorder="1" applyAlignment="1" applyProtection="1">
      <alignment horizontal="center" vertical="center" wrapText="1"/>
      <protection hidden="1"/>
    </xf>
    <xf numFmtId="3" fontId="9" fillId="12" borderId="1" xfId="0" applyNumberFormat="1" applyFont="1" applyFill="1" applyBorder="1" applyAlignment="1" applyProtection="1">
      <alignment horizontal="center" vertical="center" wrapText="1"/>
      <protection hidden="1"/>
    </xf>
    <xf numFmtId="3" fontId="10" fillId="12" borderId="1" xfId="0" applyNumberFormat="1" applyFont="1" applyFill="1" applyBorder="1" applyAlignment="1" applyProtection="1">
      <alignment horizontal="center"/>
      <protection hidden="1"/>
    </xf>
    <xf numFmtId="3" fontId="10" fillId="12" borderId="1" xfId="0" applyNumberFormat="1" applyFont="1" applyFill="1" applyBorder="1" applyAlignment="1" applyProtection="1">
      <alignment horizontal="center" vertical="center" wrapText="1"/>
      <protection hidden="1"/>
    </xf>
    <xf numFmtId="0" fontId="41" fillId="18" borderId="1" xfId="0" applyFont="1" applyFill="1" applyBorder="1" applyAlignment="1">
      <alignment horizontal="right"/>
    </xf>
    <xf numFmtId="0" fontId="9" fillId="10" borderId="1" xfId="0" applyFont="1" applyFill="1" applyBorder="1" applyAlignment="1" applyProtection="1">
      <alignment vertical="center" wrapText="1"/>
      <protection locked="0"/>
    </xf>
    <xf numFmtId="3" fontId="9" fillId="10" borderId="1" xfId="0" applyNumberFormat="1" applyFont="1" applyFill="1" applyBorder="1" applyAlignment="1" applyProtection="1">
      <alignment horizontal="center" vertical="center" wrapText="1"/>
      <protection locked="0"/>
    </xf>
    <xf numFmtId="164" fontId="43" fillId="12" borderId="1" xfId="5" applyNumberFormat="1" applyFont="1" applyFill="1" applyBorder="1" applyAlignment="1" applyProtection="1">
      <alignment horizontal="center" vertical="center" wrapText="1"/>
      <protection hidden="1"/>
    </xf>
    <xf numFmtId="169" fontId="43" fillId="12" borderId="1" xfId="5" applyNumberFormat="1" applyFont="1" applyFill="1" applyBorder="1" applyAlignment="1" applyProtection="1">
      <alignment horizontal="center" vertical="center" wrapText="1"/>
      <protection hidden="1"/>
    </xf>
    <xf numFmtId="170" fontId="43" fillId="12" borderId="1" xfId="5" applyNumberFormat="1" applyFont="1" applyFill="1" applyBorder="1" applyAlignment="1" applyProtection="1">
      <alignment horizontal="center" vertical="center" wrapText="1"/>
      <protection hidden="1"/>
    </xf>
    <xf numFmtId="166" fontId="43" fillId="12" borderId="1" xfId="5" applyNumberFormat="1" applyFont="1" applyFill="1" applyBorder="1" applyAlignment="1" applyProtection="1">
      <alignment horizontal="center" vertical="center" wrapText="1"/>
      <protection hidden="1"/>
    </xf>
    <xf numFmtId="0" fontId="16" fillId="16" borderId="1" xfId="2" applyFont="1" applyFill="1" applyBorder="1" applyAlignment="1">
      <alignment horizontal="center" vertical="center" wrapText="1"/>
    </xf>
    <xf numFmtId="167" fontId="16" fillId="16" borderId="1" xfId="0" applyNumberFormat="1" applyFont="1" applyFill="1" applyBorder="1" applyAlignment="1">
      <alignment horizontal="center" vertical="center" wrapText="1"/>
    </xf>
    <xf numFmtId="0" fontId="16" fillId="16" borderId="1" xfId="2" applyFont="1" applyFill="1" applyBorder="1" applyAlignment="1">
      <alignment horizontal="right" vertical="center" wrapText="1"/>
    </xf>
    <xf numFmtId="0" fontId="0" fillId="12" borderId="1" xfId="2" applyFont="1" applyFill="1" applyBorder="1" applyAlignment="1">
      <alignment horizontal="left" vertical="center" wrapText="1"/>
    </xf>
    <xf numFmtId="3" fontId="0" fillId="10" borderId="1" xfId="0" applyNumberFormat="1" applyFill="1" applyBorder="1" applyAlignment="1" applyProtection="1">
      <alignment horizontal="center" vertical="center" wrapText="1"/>
      <protection locked="0"/>
    </xf>
    <xf numFmtId="4" fontId="0" fillId="10" borderId="1" xfId="0" applyNumberFormat="1" applyFill="1" applyBorder="1" applyAlignment="1" applyProtection="1">
      <alignment horizontal="center" vertical="center"/>
      <protection locked="0"/>
    </xf>
    <xf numFmtId="171" fontId="0" fillId="10" borderId="1" xfId="0" applyNumberFormat="1" applyFill="1" applyBorder="1" applyAlignment="1" applyProtection="1">
      <alignment horizontal="center" vertical="center" wrapText="1"/>
      <protection locked="0"/>
    </xf>
    <xf numFmtId="171" fontId="0" fillId="10" borderId="1" xfId="0" applyNumberFormat="1" applyFill="1" applyBorder="1" applyAlignment="1" applyProtection="1">
      <alignment horizontal="center" vertical="center"/>
      <protection locked="0"/>
    </xf>
    <xf numFmtId="164" fontId="0" fillId="12" borderId="1" xfId="0" applyNumberFormat="1" applyFill="1" applyBorder="1" applyAlignment="1">
      <alignment horizontal="center" vertical="center"/>
    </xf>
    <xf numFmtId="0" fontId="0" fillId="10" borderId="1" xfId="0" applyFill="1" applyBorder="1" applyAlignment="1" applyProtection="1">
      <alignment horizontal="center" vertical="center" wrapText="1"/>
      <protection locked="0"/>
    </xf>
    <xf numFmtId="164" fontId="0" fillId="10" borderId="1" xfId="0" applyNumberFormat="1" applyFill="1" applyBorder="1" applyAlignment="1" applyProtection="1">
      <alignment horizontal="center" vertical="center" wrapText="1"/>
      <protection locked="0"/>
    </xf>
    <xf numFmtId="164" fontId="14" fillId="18" borderId="1" xfId="0" applyNumberFormat="1" applyFont="1" applyFill="1" applyBorder="1" applyAlignment="1" applyProtection="1">
      <alignment horizontal="center" vertical="center"/>
      <protection hidden="1"/>
    </xf>
    <xf numFmtId="167" fontId="14" fillId="18" borderId="1" xfId="4" applyNumberFormat="1" applyFont="1" applyFill="1" applyBorder="1" applyAlignment="1" applyProtection="1">
      <alignment horizontal="center" vertical="center"/>
      <protection hidden="1"/>
    </xf>
    <xf numFmtId="173" fontId="14" fillId="18" borderId="1" xfId="4" applyNumberFormat="1" applyFont="1" applyFill="1" applyBorder="1" applyAlignment="1" applyProtection="1">
      <alignment horizontal="center" vertical="center"/>
      <protection hidden="1"/>
    </xf>
    <xf numFmtId="166" fontId="14" fillId="18" borderId="1" xfId="0" applyNumberFormat="1" applyFont="1" applyFill="1" applyBorder="1" applyAlignment="1" applyProtection="1">
      <alignment horizontal="center" vertical="center"/>
      <protection hidden="1"/>
    </xf>
    <xf numFmtId="0" fontId="0" fillId="12" borderId="1" xfId="0" applyFill="1" applyBorder="1" applyAlignment="1" applyProtection="1">
      <alignment horizontal="center" vertical="center" wrapText="1"/>
      <protection hidden="1"/>
    </xf>
    <xf numFmtId="164" fontId="0" fillId="12" borderId="1" xfId="0" applyNumberFormat="1" applyFill="1" applyBorder="1" applyAlignment="1" applyProtection="1">
      <alignment horizontal="center" vertical="center" wrapText="1"/>
      <protection hidden="1"/>
    </xf>
    <xf numFmtId="0" fontId="16" fillId="16" borderId="19" xfId="0" applyFont="1" applyFill="1" applyBorder="1" applyAlignment="1">
      <alignment horizontal="center" vertical="center" wrapText="1"/>
    </xf>
    <xf numFmtId="0" fontId="16" fillId="16" borderId="21" xfId="0" applyFont="1" applyFill="1" applyBorder="1" applyAlignment="1">
      <alignment horizontal="center" vertical="center" wrapText="1"/>
    </xf>
    <xf numFmtId="0" fontId="0" fillId="12" borderId="18" xfId="2" applyFont="1" applyFill="1" applyBorder="1" applyAlignment="1" applyProtection="1">
      <alignment horizontal="center" vertical="center" wrapText="1"/>
      <protection hidden="1"/>
    </xf>
    <xf numFmtId="0" fontId="0" fillId="12" borderId="18" xfId="2" applyFont="1" applyFill="1" applyBorder="1" applyAlignment="1">
      <alignment horizontal="center" vertical="center" wrapText="1"/>
    </xf>
    <xf numFmtId="0" fontId="0" fillId="12" borderId="18" xfId="2" applyFont="1" applyFill="1" applyBorder="1" applyAlignment="1">
      <alignment horizontal="left" vertical="center" wrapText="1"/>
    </xf>
    <xf numFmtId="0" fontId="0" fillId="12" borderId="1" xfId="2" applyFont="1" applyFill="1" applyBorder="1" applyAlignment="1">
      <alignment horizontal="center" vertical="center"/>
    </xf>
    <xf numFmtId="2" fontId="0" fillId="10" borderId="18" xfId="0" applyNumberFormat="1" applyFill="1" applyBorder="1" applyAlignment="1" applyProtection="1">
      <alignment horizontal="center" vertical="center"/>
      <protection locked="0"/>
    </xf>
    <xf numFmtId="2" fontId="0" fillId="10" borderId="18" xfId="0" applyNumberFormat="1" applyFill="1" applyBorder="1" applyAlignment="1" applyProtection="1">
      <alignment horizontal="center" vertical="center" wrapText="1"/>
      <protection locked="0"/>
    </xf>
    <xf numFmtId="0" fontId="0" fillId="10" borderId="18" xfId="0" applyFill="1" applyBorder="1" applyAlignment="1" applyProtection="1">
      <alignment horizontal="center" vertical="center" wrapText="1"/>
      <protection locked="0"/>
    </xf>
    <xf numFmtId="164" fontId="0" fillId="10" borderId="18" xfId="0" applyNumberFormat="1" applyFill="1" applyBorder="1" applyAlignment="1" applyProtection="1">
      <alignment horizontal="center" vertical="center" wrapText="1"/>
      <protection locked="0"/>
    </xf>
    <xf numFmtId="2" fontId="0" fillId="10" borderId="1" xfId="0" applyNumberFormat="1" applyFill="1" applyBorder="1" applyAlignment="1" applyProtection="1">
      <alignment horizontal="center" vertical="center"/>
      <protection locked="0"/>
    </xf>
    <xf numFmtId="2" fontId="0" fillId="10" borderId="1" xfId="0" applyNumberFormat="1" applyFill="1" applyBorder="1" applyAlignment="1" applyProtection="1">
      <alignment horizontal="center" vertical="center" wrapText="1"/>
      <protection locked="0"/>
    </xf>
    <xf numFmtId="166" fontId="0" fillId="10" borderId="1" xfId="0" applyNumberFormat="1" applyFill="1" applyBorder="1" applyAlignment="1" applyProtection="1">
      <alignment horizontal="center" vertical="center" wrapText="1"/>
      <protection locked="0"/>
    </xf>
    <xf numFmtId="0" fontId="0" fillId="10" borderId="1" xfId="4" applyNumberFormat="1" applyFont="1" applyFill="1" applyBorder="1" applyAlignment="1" applyProtection="1">
      <alignment horizontal="center" vertical="center" wrapText="1"/>
      <protection locked="0"/>
    </xf>
    <xf numFmtId="164" fontId="0" fillId="12" borderId="1" xfId="0" applyNumberFormat="1" applyFill="1" applyBorder="1" applyAlignment="1">
      <alignment horizontal="center" vertical="center" wrapText="1"/>
    </xf>
    <xf numFmtId="0" fontId="0" fillId="12" borderId="18" xfId="0" applyFill="1" applyBorder="1" applyAlignment="1" applyProtection="1">
      <alignment horizontal="center" vertical="center" wrapText="1"/>
      <protection hidden="1"/>
    </xf>
    <xf numFmtId="164" fontId="13" fillId="10" borderId="1" xfId="5" applyNumberFormat="1" applyFill="1" applyBorder="1" applyAlignment="1" applyProtection="1">
      <alignment horizontal="center" vertical="center" wrapText="1"/>
      <protection hidden="1"/>
    </xf>
    <xf numFmtId="169" fontId="13" fillId="10" borderId="1" xfId="5" applyNumberFormat="1" applyFill="1" applyBorder="1" applyAlignment="1" applyProtection="1">
      <alignment horizontal="center" vertical="center"/>
      <protection hidden="1"/>
    </xf>
    <xf numFmtId="164" fontId="13" fillId="10" borderId="1" xfId="5" applyNumberFormat="1" applyFill="1" applyBorder="1" applyAlignment="1" applyProtection="1">
      <alignment horizontal="center" vertical="center"/>
      <protection hidden="1"/>
    </xf>
    <xf numFmtId="168" fontId="13" fillId="10" borderId="1" xfId="5" applyNumberFormat="1" applyFill="1" applyBorder="1" applyAlignment="1" applyProtection="1">
      <alignment horizontal="center" vertical="center"/>
      <protection hidden="1"/>
    </xf>
    <xf numFmtId="166" fontId="13" fillId="10" borderId="1" xfId="5" applyNumberFormat="1" applyFill="1" applyBorder="1" applyAlignment="1" applyProtection="1">
      <alignment horizontal="center" vertical="center" wrapText="1"/>
      <protection hidden="1"/>
    </xf>
    <xf numFmtId="169" fontId="13" fillId="10" borderId="1" xfId="5" applyNumberFormat="1" applyFill="1" applyBorder="1" applyAlignment="1" applyProtection="1">
      <alignment horizontal="center" vertical="center" wrapText="1"/>
      <protection hidden="1"/>
    </xf>
    <xf numFmtId="168" fontId="13" fillId="10" borderId="1" xfId="5" applyNumberFormat="1" applyFill="1" applyBorder="1" applyAlignment="1" applyProtection="1">
      <alignment horizontal="center" vertical="center" wrapText="1"/>
      <protection hidden="1"/>
    </xf>
    <xf numFmtId="169" fontId="14" fillId="18" borderId="1" xfId="4" applyNumberFormat="1" applyFont="1" applyFill="1" applyBorder="1" applyAlignment="1" applyProtection="1">
      <alignment horizontal="center" vertical="center"/>
      <protection hidden="1"/>
    </xf>
    <xf numFmtId="168" fontId="14" fillId="18" borderId="1" xfId="0" applyNumberFormat="1" applyFont="1" applyFill="1" applyBorder="1" applyAlignment="1" applyProtection="1">
      <alignment horizontal="center" vertical="center"/>
      <protection hidden="1"/>
    </xf>
    <xf numFmtId="166" fontId="14" fillId="18" borderId="0" xfId="0" applyNumberFormat="1" applyFont="1" applyFill="1" applyAlignment="1" applyProtection="1">
      <alignment horizontal="center" vertical="center"/>
      <protection hidden="1"/>
    </xf>
    <xf numFmtId="164" fontId="44" fillId="10" borderId="1" xfId="5" applyNumberFormat="1" applyFont="1" applyFill="1" applyBorder="1" applyAlignment="1" applyProtection="1">
      <alignment horizontal="center" vertical="center" wrapText="1"/>
      <protection hidden="1"/>
    </xf>
    <xf numFmtId="169" fontId="44" fillId="10" borderId="1" xfId="5" applyNumberFormat="1" applyFont="1" applyFill="1" applyBorder="1" applyAlignment="1" applyProtection="1">
      <alignment horizontal="center" vertical="center"/>
      <protection hidden="1"/>
    </xf>
    <xf numFmtId="164" fontId="44" fillId="10" borderId="1" xfId="5" applyNumberFormat="1" applyFont="1" applyFill="1" applyBorder="1" applyAlignment="1" applyProtection="1">
      <alignment horizontal="center" vertical="center"/>
      <protection hidden="1"/>
    </xf>
    <xf numFmtId="168" fontId="44" fillId="10" borderId="1" xfId="5" applyNumberFormat="1" applyFont="1" applyFill="1" applyBorder="1" applyAlignment="1" applyProtection="1">
      <alignment horizontal="center" vertical="center"/>
      <protection hidden="1"/>
    </xf>
    <xf numFmtId="166" fontId="44" fillId="10" borderId="1" xfId="5" applyNumberFormat="1" applyFont="1" applyFill="1" applyBorder="1" applyAlignment="1" applyProtection="1">
      <alignment horizontal="center" vertical="center" wrapText="1"/>
      <protection hidden="1"/>
    </xf>
    <xf numFmtId="164" fontId="35" fillId="12" borderId="1" xfId="0" applyNumberFormat="1" applyFont="1" applyFill="1" applyBorder="1" applyAlignment="1">
      <alignment horizontal="center" vertical="center"/>
    </xf>
    <xf numFmtId="0" fontId="15" fillId="16" borderId="1" xfId="0" applyFont="1" applyFill="1" applyBorder="1"/>
    <xf numFmtId="0" fontId="0" fillId="12" borderId="1" xfId="0" applyFill="1" applyBorder="1" applyAlignment="1">
      <alignment horizontal="right"/>
    </xf>
    <xf numFmtId="0" fontId="0" fillId="12" borderId="1" xfId="0" applyFill="1" applyBorder="1" applyAlignment="1">
      <alignment horizontal="right" vertical="center"/>
    </xf>
    <xf numFmtId="0" fontId="0" fillId="12" borderId="1" xfId="0" applyFill="1" applyBorder="1" applyAlignment="1">
      <alignment horizontal="center" vertical="center"/>
    </xf>
    <xf numFmtId="0" fontId="1" fillId="12" borderId="1" xfId="1" applyFill="1" applyBorder="1" applyAlignment="1">
      <alignment horizontal="right" vertical="center" indent="2"/>
    </xf>
    <xf numFmtId="0" fontId="1" fillId="12" borderId="1" xfId="1" applyFill="1" applyBorder="1" applyAlignment="1">
      <alignment horizontal="right" vertical="center"/>
    </xf>
    <xf numFmtId="0" fontId="1" fillId="12" borderId="1" xfId="1" applyFill="1" applyBorder="1" applyAlignment="1">
      <alignment horizontal="right"/>
    </xf>
    <xf numFmtId="0" fontId="17" fillId="12" borderId="1" xfId="0" applyFont="1" applyFill="1" applyBorder="1"/>
    <xf numFmtId="0" fontId="16" fillId="16" borderId="26" xfId="0" applyFont="1" applyFill="1" applyBorder="1"/>
    <xf numFmtId="0" fontId="15" fillId="16" borderId="26" xfId="0" applyFont="1" applyFill="1" applyBorder="1"/>
    <xf numFmtId="0" fontId="15" fillId="16" borderId="0" xfId="0" applyFont="1" applyFill="1"/>
    <xf numFmtId="0" fontId="16" fillId="16" borderId="0" xfId="0" applyFont="1" applyFill="1"/>
    <xf numFmtId="0" fontId="45" fillId="18" borderId="1" xfId="0" applyFont="1" applyFill="1" applyBorder="1"/>
    <xf numFmtId="0" fontId="45" fillId="18" borderId="15" xfId="0" applyFont="1" applyFill="1" applyBorder="1"/>
    <xf numFmtId="0" fontId="26" fillId="18" borderId="1" xfId="0" applyFont="1" applyFill="1" applyBorder="1"/>
    <xf numFmtId="0" fontId="15" fillId="18" borderId="1" xfId="0" applyFont="1" applyFill="1" applyBorder="1"/>
    <xf numFmtId="171" fontId="15" fillId="18" borderId="1" xfId="0" applyNumberFormat="1" applyFont="1" applyFill="1" applyBorder="1"/>
    <xf numFmtId="0" fontId="46" fillId="0" borderId="0" xfId="0" applyFont="1"/>
    <xf numFmtId="0" fontId="47" fillId="0" borderId="0" xfId="0" applyFont="1"/>
    <xf numFmtId="0" fontId="40" fillId="16" borderId="36" xfId="0" applyFont="1" applyFill="1" applyBorder="1" applyAlignment="1">
      <alignment horizontal="centerContinuous"/>
    </xf>
    <xf numFmtId="0" fontId="40" fillId="16" borderId="37" xfId="0" applyFont="1" applyFill="1" applyBorder="1" applyAlignment="1">
      <alignment horizontal="centerContinuous"/>
    </xf>
    <xf numFmtId="0" fontId="40" fillId="16" borderId="38" xfId="0" applyFont="1" applyFill="1" applyBorder="1" applyAlignment="1">
      <alignment horizontal="centerContinuous"/>
    </xf>
    <xf numFmtId="0" fontId="40" fillId="0" borderId="0" xfId="0" applyFont="1"/>
    <xf numFmtId="0" fontId="9" fillId="0" borderId="39" xfId="0" applyFont="1" applyBorder="1" applyAlignment="1">
      <alignment horizontal="centerContinuous"/>
    </xf>
    <xf numFmtId="0" fontId="9" fillId="0" borderId="24" xfId="0" applyFont="1" applyBorder="1" applyAlignment="1">
      <alignment horizontal="centerContinuous"/>
    </xf>
    <xf numFmtId="0" fontId="9" fillId="0" borderId="40" xfId="0" applyFont="1" applyBorder="1" applyAlignment="1">
      <alignment horizontal="centerContinuous"/>
    </xf>
    <xf numFmtId="0" fontId="9" fillId="10" borderId="41" xfId="0" applyFont="1" applyFill="1" applyBorder="1" applyAlignment="1">
      <alignment horizontal="centerContinuous"/>
    </xf>
    <xf numFmtId="0" fontId="9" fillId="10" borderId="26" xfId="0" applyFont="1" applyFill="1" applyBorder="1" applyAlignment="1">
      <alignment horizontal="centerContinuous"/>
    </xf>
    <xf numFmtId="0" fontId="9" fillId="10" borderId="42" xfId="0" applyFont="1" applyFill="1" applyBorder="1" applyAlignment="1">
      <alignment horizontal="centerContinuous"/>
    </xf>
    <xf numFmtId="0" fontId="9" fillId="0" borderId="43" xfId="0" applyFont="1" applyBorder="1" applyAlignment="1">
      <alignment horizontal="centerContinuous"/>
    </xf>
    <xf numFmtId="0" fontId="9" fillId="0" borderId="5" xfId="0" applyFont="1" applyBorder="1" applyAlignment="1">
      <alignment horizontal="center"/>
    </xf>
    <xf numFmtId="0" fontId="9" fillId="12" borderId="44" xfId="0" applyFont="1" applyFill="1" applyBorder="1"/>
    <xf numFmtId="0" fontId="9" fillId="0" borderId="23" xfId="0" applyFont="1" applyBorder="1" applyAlignment="1">
      <alignment horizontal="centerContinuous"/>
    </xf>
    <xf numFmtId="0" fontId="9" fillId="0" borderId="44" xfId="0" applyFont="1" applyBorder="1" applyAlignment="1">
      <alignment horizontal="center"/>
    </xf>
    <xf numFmtId="0" fontId="9" fillId="10" borderId="45" xfId="0" applyFont="1" applyFill="1" applyBorder="1" applyAlignment="1">
      <alignment horizontal="centerContinuous"/>
    </xf>
    <xf numFmtId="0" fontId="9" fillId="10" borderId="7" xfId="0" applyFont="1" applyFill="1" applyBorder="1" applyAlignment="1">
      <alignment horizontal="center" vertical="center"/>
    </xf>
    <xf numFmtId="0" fontId="9" fillId="12" borderId="46" xfId="0" applyFont="1" applyFill="1" applyBorder="1"/>
    <xf numFmtId="0" fontId="9" fillId="10" borderId="27" xfId="0" applyFont="1" applyFill="1" applyBorder="1" applyAlignment="1">
      <alignment horizontal="centerContinuous"/>
    </xf>
    <xf numFmtId="0" fontId="9" fillId="10" borderId="46" xfId="0" applyFont="1" applyFill="1" applyBorder="1" applyAlignment="1">
      <alignment horizontal="center" vertical="center"/>
    </xf>
    <xf numFmtId="3" fontId="47" fillId="10" borderId="41" xfId="0" applyNumberFormat="1" applyFont="1" applyFill="1" applyBorder="1" applyAlignment="1">
      <alignment horizontal="centerContinuous"/>
    </xf>
    <xf numFmtId="0" fontId="40" fillId="16" borderId="47" xfId="0" applyFont="1" applyFill="1" applyBorder="1" applyAlignment="1">
      <alignment horizontal="centerContinuous"/>
    </xf>
    <xf numFmtId="0" fontId="40" fillId="16" borderId="25" xfId="0" applyFont="1" applyFill="1" applyBorder="1" applyAlignment="1">
      <alignment horizontal="centerContinuous"/>
    </xf>
    <xf numFmtId="0" fontId="40" fillId="16" borderId="48" xfId="0" applyFont="1" applyFill="1" applyBorder="1" applyAlignment="1">
      <alignment horizontal="centerContinuous"/>
    </xf>
    <xf numFmtId="0" fontId="9" fillId="0" borderId="43" xfId="0" applyFont="1" applyBorder="1" applyAlignment="1">
      <alignment horizontal="center"/>
    </xf>
    <xf numFmtId="0" fontId="9" fillId="12" borderId="32" xfId="0" applyFont="1" applyFill="1" applyBorder="1"/>
    <xf numFmtId="0" fontId="9" fillId="10" borderId="45" xfId="0" applyFont="1" applyFill="1" applyBorder="1" applyAlignment="1">
      <alignment horizontal="center"/>
    </xf>
    <xf numFmtId="0" fontId="9" fillId="10" borderId="7" xfId="0" applyFont="1" applyFill="1" applyBorder="1" applyAlignment="1">
      <alignment horizontal="center"/>
    </xf>
    <xf numFmtId="14" fontId="9" fillId="10" borderId="41" xfId="0" applyNumberFormat="1" applyFont="1" applyFill="1" applyBorder="1" applyAlignment="1">
      <alignment horizontal="centerContinuous"/>
    </xf>
    <xf numFmtId="0" fontId="9" fillId="0" borderId="42" xfId="0" applyFont="1" applyBorder="1"/>
    <xf numFmtId="0" fontId="9" fillId="0" borderId="0" xfId="0" applyFont="1" applyBorder="1"/>
    <xf numFmtId="0" fontId="9" fillId="10" borderId="33" xfId="0" applyFont="1" applyFill="1" applyBorder="1" applyAlignment="1">
      <alignment horizontal="centerContinuous"/>
    </xf>
    <xf numFmtId="0" fontId="9" fillId="10" borderId="34" xfId="0" applyFont="1" applyFill="1" applyBorder="1" applyAlignment="1">
      <alignment horizontal="centerContinuous"/>
    </xf>
    <xf numFmtId="0" fontId="9" fillId="10" borderId="35" xfId="0" applyFont="1" applyFill="1" applyBorder="1" applyAlignment="1">
      <alignment horizontal="centerContinuous"/>
    </xf>
    <xf numFmtId="0" fontId="9" fillId="10" borderId="49" xfId="0" applyFont="1" applyFill="1" applyBorder="1" applyAlignment="1">
      <alignment horizontal="center"/>
    </xf>
    <xf numFmtId="0" fontId="9" fillId="10" borderId="50" xfId="0" applyFont="1" applyFill="1" applyBorder="1" applyAlignment="1">
      <alignment horizontal="center"/>
    </xf>
    <xf numFmtId="0" fontId="9" fillId="12" borderId="35" xfId="0" applyFont="1" applyFill="1" applyBorder="1"/>
    <xf numFmtId="0" fontId="49" fillId="0" borderId="28" xfId="0" applyFont="1" applyBorder="1" applyProtection="1">
      <protection hidden="1"/>
    </xf>
    <xf numFmtId="0" fontId="49" fillId="0" borderId="29" xfId="0" applyFont="1" applyBorder="1" applyProtection="1">
      <protection hidden="1"/>
    </xf>
    <xf numFmtId="0" fontId="47" fillId="0" borderId="29" xfId="0" applyFont="1" applyBorder="1"/>
    <xf numFmtId="0" fontId="9" fillId="0" borderId="29" xfId="0" applyFont="1" applyBorder="1"/>
    <xf numFmtId="0" fontId="9" fillId="0" borderId="30" xfId="0" applyFont="1" applyBorder="1"/>
    <xf numFmtId="0" fontId="50" fillId="0" borderId="31" xfId="0" applyFont="1" applyBorder="1" applyProtection="1">
      <protection hidden="1"/>
    </xf>
    <xf numFmtId="0" fontId="50" fillId="0" borderId="0" xfId="0" applyFont="1" applyBorder="1" applyProtection="1">
      <protection hidden="1"/>
    </xf>
    <xf numFmtId="0" fontId="9" fillId="0" borderId="32" xfId="0" applyFont="1" applyBorder="1"/>
    <xf numFmtId="0" fontId="49" fillId="12" borderId="33" xfId="0" applyFont="1" applyFill="1" applyBorder="1" applyProtection="1">
      <protection hidden="1"/>
    </xf>
    <xf numFmtId="0" fontId="49" fillId="12" borderId="34" xfId="0" applyFont="1" applyFill="1" applyBorder="1" applyProtection="1">
      <protection locked="0"/>
    </xf>
    <xf numFmtId="0" fontId="51" fillId="0" borderId="34" xfId="0" applyFont="1" applyBorder="1" applyProtection="1">
      <protection locked="0"/>
    </xf>
    <xf numFmtId="0" fontId="51" fillId="0" borderId="34" xfId="0" applyFont="1" applyFill="1" applyBorder="1" applyProtection="1">
      <protection hidden="1"/>
    </xf>
    <xf numFmtId="0" fontId="9" fillId="0" borderId="34" xfId="0" applyFont="1" applyBorder="1"/>
    <xf numFmtId="0" fontId="49" fillId="12" borderId="34" xfId="0" applyFont="1" applyFill="1" applyBorder="1" applyProtection="1">
      <protection hidden="1"/>
    </xf>
    <xf numFmtId="0" fontId="9" fillId="0" borderId="35" xfId="0" applyFont="1" applyBorder="1"/>
    <xf numFmtId="0" fontId="52" fillId="0" borderId="0" xfId="0" applyFont="1"/>
    <xf numFmtId="164" fontId="9" fillId="15" borderId="1" xfId="4" applyNumberFormat="1" applyFont="1" applyFill="1" applyBorder="1" applyAlignment="1" applyProtection="1">
      <alignment horizontal="center" vertical="center"/>
      <protection hidden="1"/>
    </xf>
    <xf numFmtId="164" fontId="9" fillId="10" borderId="1" xfId="8" applyNumberFormat="1" applyFont="1" applyFill="1" applyBorder="1"/>
    <xf numFmtId="0" fontId="41" fillId="16" borderId="4" xfId="0" applyFont="1" applyFill="1" applyBorder="1" applyAlignment="1">
      <alignment horizontal="center" vertical="center" wrapText="1"/>
    </xf>
    <xf numFmtId="0" fontId="41" fillId="16" borderId="3" xfId="0" applyFont="1" applyFill="1" applyBorder="1" applyAlignment="1">
      <alignment horizontal="center" vertical="center" wrapText="1"/>
    </xf>
    <xf numFmtId="164" fontId="9" fillId="10" borderId="1" xfId="0" applyNumberFormat="1" applyFont="1" applyFill="1" applyBorder="1" applyAlignment="1" applyProtection="1">
      <alignment horizontal="center" vertical="center"/>
      <protection hidden="1"/>
    </xf>
    <xf numFmtId="164" fontId="9" fillId="10" borderId="1" xfId="4" applyNumberFormat="1" applyFont="1" applyFill="1" applyBorder="1" applyAlignment="1" applyProtection="1">
      <alignment horizontal="center" vertical="center"/>
      <protection hidden="1"/>
    </xf>
    <xf numFmtId="171" fontId="9" fillId="10" borderId="1" xfId="0" applyNumberFormat="1" applyFont="1" applyFill="1" applyBorder="1" applyAlignment="1" applyProtection="1">
      <alignment horizontal="center" vertical="center"/>
      <protection hidden="1"/>
    </xf>
    <xf numFmtId="172" fontId="9" fillId="10" borderId="1" xfId="0" applyNumberFormat="1" applyFont="1" applyFill="1" applyBorder="1" applyAlignment="1" applyProtection="1">
      <alignment horizontal="center" vertical="center"/>
      <protection hidden="1"/>
    </xf>
    <xf numFmtId="171" fontId="9" fillId="10" borderId="10" xfId="0" applyNumberFormat="1" applyFont="1" applyFill="1" applyBorder="1" applyAlignment="1" applyProtection="1">
      <alignment horizontal="center" vertical="center"/>
      <protection hidden="1"/>
    </xf>
    <xf numFmtId="164" fontId="10" fillId="10" borderId="12" xfId="0" applyNumberFormat="1" applyFont="1" applyFill="1" applyBorder="1" applyAlignment="1" applyProtection="1">
      <alignment horizontal="center" vertical="center"/>
      <protection hidden="1"/>
    </xf>
    <xf numFmtId="171" fontId="10" fillId="10" borderId="12" xfId="0" applyNumberFormat="1" applyFont="1" applyFill="1" applyBorder="1" applyAlignment="1" applyProtection="1">
      <alignment horizontal="center" vertical="center"/>
      <protection hidden="1"/>
    </xf>
    <xf numFmtId="172" fontId="10" fillId="10" borderId="12" xfId="0" applyNumberFormat="1" applyFont="1" applyFill="1" applyBorder="1" applyAlignment="1" applyProtection="1">
      <alignment horizontal="center" vertical="center"/>
      <protection hidden="1"/>
    </xf>
    <xf numFmtId="171" fontId="10" fillId="10" borderId="13" xfId="0" applyNumberFormat="1" applyFont="1" applyFill="1" applyBorder="1" applyAlignment="1" applyProtection="1">
      <alignment horizontal="center" vertical="center"/>
      <protection hidden="1"/>
    </xf>
    <xf numFmtId="164" fontId="9" fillId="0" borderId="0" xfId="0" applyNumberFormat="1" applyFont="1"/>
    <xf numFmtId="0" fontId="9" fillId="16" borderId="0" xfId="0" applyFont="1" applyFill="1"/>
    <xf numFmtId="0" fontId="53" fillId="0" borderId="0" xfId="0" applyFont="1" applyProtection="1">
      <protection hidden="1"/>
    </xf>
    <xf numFmtId="0" fontId="9" fillId="0" borderId="0" xfId="0" applyFont="1" applyProtection="1">
      <protection hidden="1"/>
    </xf>
    <xf numFmtId="0" fontId="54" fillId="0" borderId="0" xfId="0" applyFont="1" applyProtection="1">
      <protection hidden="1"/>
    </xf>
    <xf numFmtId="0" fontId="55" fillId="0" borderId="0" xfId="0" applyFont="1"/>
    <xf numFmtId="0" fontId="50" fillId="0" borderId="0" xfId="0" applyFont="1"/>
    <xf numFmtId="0" fontId="50" fillId="0" borderId="22" xfId="0" applyFont="1" applyBorder="1" applyProtection="1">
      <protection hidden="1"/>
    </xf>
    <xf numFmtId="0" fontId="50" fillId="0" borderId="0" xfId="0" applyFont="1" applyProtection="1">
      <protection hidden="1"/>
    </xf>
    <xf numFmtId="0" fontId="57" fillId="0" borderId="0" xfId="0" applyFont="1" applyProtection="1">
      <protection hidden="1"/>
    </xf>
    <xf numFmtId="0" fontId="49" fillId="0" borderId="0" xfId="0" applyFont="1" applyProtection="1">
      <protection hidden="1"/>
    </xf>
    <xf numFmtId="0" fontId="47" fillId="0" borderId="0" xfId="0" applyFont="1" applyProtection="1">
      <protection hidden="1"/>
    </xf>
    <xf numFmtId="0" fontId="49" fillId="12" borderId="1" xfId="0" applyFont="1" applyFill="1" applyBorder="1" applyAlignment="1" applyProtection="1">
      <alignment wrapText="1"/>
      <protection hidden="1"/>
    </xf>
    <xf numFmtId="0" fontId="49" fillId="12" borderId="1" xfId="0" applyFont="1" applyFill="1" applyBorder="1" applyAlignment="1" applyProtection="1">
      <alignment horizontal="right" wrapText="1"/>
      <protection hidden="1"/>
    </xf>
    <xf numFmtId="0" fontId="49" fillId="0" borderId="1" xfId="0" applyFont="1" applyBorder="1" applyProtection="1">
      <protection hidden="1"/>
    </xf>
    <xf numFmtId="164" fontId="49" fillId="0" borderId="1" xfId="0" applyNumberFormat="1" applyFont="1" applyBorder="1" applyAlignment="1" applyProtection="1">
      <alignment horizontal="right"/>
      <protection hidden="1"/>
    </xf>
    <xf numFmtId="171" fontId="49" fillId="0" borderId="1" xfId="0" applyNumberFormat="1" applyFont="1" applyBorder="1" applyAlignment="1" applyProtection="1">
      <alignment horizontal="right"/>
      <protection hidden="1"/>
    </xf>
    <xf numFmtId="0" fontId="49" fillId="12" borderId="1" xfId="0" applyFont="1" applyFill="1" applyBorder="1" applyProtection="1">
      <protection hidden="1"/>
    </xf>
    <xf numFmtId="164" fontId="51" fillId="12" borderId="1" xfId="0" applyNumberFormat="1" applyFont="1" applyFill="1" applyBorder="1" applyAlignment="1" applyProtection="1">
      <alignment horizontal="right"/>
      <protection hidden="1"/>
    </xf>
    <xf numFmtId="171" fontId="51" fillId="12" borderId="1" xfId="0" applyNumberFormat="1" applyFont="1" applyFill="1" applyBorder="1" applyAlignment="1" applyProtection="1">
      <alignment horizontal="right"/>
      <protection hidden="1"/>
    </xf>
    <xf numFmtId="0" fontId="56" fillId="16" borderId="0" xfId="0" applyFont="1" applyFill="1" applyProtection="1">
      <protection hidden="1"/>
    </xf>
    <xf numFmtId="0" fontId="49" fillId="16" borderId="0" xfId="0" applyFont="1" applyFill="1" applyProtection="1">
      <protection hidden="1"/>
    </xf>
    <xf numFmtId="0" fontId="49" fillId="12" borderId="25" xfId="0" applyFont="1" applyFill="1" applyBorder="1" applyAlignment="1" applyProtection="1">
      <alignment vertical="center"/>
      <protection hidden="1"/>
    </xf>
    <xf numFmtId="0" fontId="49" fillId="12" borderId="16" xfId="0" applyFont="1" applyFill="1" applyBorder="1" applyAlignment="1" applyProtection="1">
      <alignment vertical="center"/>
      <protection locked="0"/>
    </xf>
    <xf numFmtId="0" fontId="49" fillId="12" borderId="25" xfId="0" applyFont="1" applyFill="1" applyBorder="1" applyAlignment="1" applyProtection="1">
      <alignment vertical="center"/>
      <protection locked="0"/>
    </xf>
    <xf numFmtId="0" fontId="49" fillId="12" borderId="56" xfId="0" applyFont="1" applyFill="1" applyBorder="1" applyAlignment="1" applyProtection="1">
      <alignment vertical="center"/>
      <protection hidden="1"/>
    </xf>
    <xf numFmtId="0" fontId="49" fillId="12" borderId="26" xfId="0" applyFont="1" applyFill="1" applyBorder="1" applyAlignment="1" applyProtection="1">
      <alignment vertical="center"/>
      <protection hidden="1"/>
    </xf>
    <xf numFmtId="0" fontId="49" fillId="12" borderId="26" xfId="0" applyFont="1" applyFill="1" applyBorder="1" applyAlignment="1" applyProtection="1">
      <alignment vertical="center"/>
      <protection locked="0"/>
    </xf>
    <xf numFmtId="0" fontId="49" fillId="12" borderId="27" xfId="0" applyFont="1" applyFill="1" applyBorder="1" applyAlignment="1" applyProtection="1">
      <alignment vertical="center"/>
      <protection locked="0"/>
    </xf>
    <xf numFmtId="0" fontId="50" fillId="0" borderId="24" xfId="0" applyFont="1" applyBorder="1" applyProtection="1">
      <protection hidden="1"/>
    </xf>
    <xf numFmtId="0" fontId="33" fillId="0" borderId="0" xfId="0" applyFont="1" applyProtection="1">
      <protection hidden="1"/>
    </xf>
    <xf numFmtId="0" fontId="51" fillId="0" borderId="0" xfId="0" applyFont="1" applyProtection="1">
      <protection locked="0"/>
    </xf>
    <xf numFmtId="14" fontId="51" fillId="0" borderId="0" xfId="0" applyNumberFormat="1" applyFont="1" applyProtection="1">
      <protection locked="0"/>
    </xf>
    <xf numFmtId="0" fontId="51" fillId="0" borderId="0" xfId="0" applyFont="1"/>
    <xf numFmtId="0" fontId="50" fillId="0" borderId="26" xfId="0" applyFont="1" applyBorder="1" applyProtection="1">
      <protection hidden="1"/>
    </xf>
    <xf numFmtId="0" fontId="33" fillId="0" borderId="0" xfId="0" applyFont="1" applyAlignment="1" applyProtection="1">
      <alignment horizontal="left" indent="1"/>
      <protection hidden="1"/>
    </xf>
    <xf numFmtId="0" fontId="58" fillId="0" borderId="0" xfId="0" applyFont="1" applyProtection="1">
      <protection hidden="1"/>
    </xf>
    <xf numFmtId="0" fontId="47" fillId="10" borderId="1" xfId="0" applyFont="1" applyFill="1" applyBorder="1" applyAlignment="1" applyProtection="1">
      <alignment horizontal="right" vertical="center"/>
      <protection hidden="1"/>
    </xf>
    <xf numFmtId="0" fontId="47" fillId="12" borderId="1" xfId="0" applyFont="1" applyFill="1" applyBorder="1" applyAlignment="1" applyProtection="1">
      <alignment horizontal="right" vertical="center"/>
      <protection hidden="1"/>
    </xf>
    <xf numFmtId="0" fontId="0" fillId="0" borderId="6" xfId="0" applyFill="1" applyBorder="1"/>
    <xf numFmtId="2" fontId="0" fillId="0" borderId="6" xfId="0" applyNumberFormat="1" applyFill="1" applyBorder="1"/>
    <xf numFmtId="0" fontId="0" fillId="0" borderId="1" xfId="0" applyFill="1" applyBorder="1"/>
    <xf numFmtId="0" fontId="5" fillId="0" borderId="18" xfId="0" applyFont="1" applyBorder="1" applyAlignment="1">
      <alignment vertical="center" wrapText="1"/>
    </xf>
    <xf numFmtId="164" fontId="9" fillId="10" borderId="7" xfId="4" applyNumberFormat="1" applyFont="1" applyFill="1" applyBorder="1" applyAlignment="1" applyProtection="1">
      <alignment horizontal="center" vertical="center"/>
      <protection hidden="1"/>
    </xf>
    <xf numFmtId="164" fontId="9" fillId="10" borderId="7" xfId="0" applyNumberFormat="1" applyFont="1" applyFill="1" applyBorder="1" applyAlignment="1" applyProtection="1">
      <alignment horizontal="center" vertical="center"/>
      <protection hidden="1"/>
    </xf>
    <xf numFmtId="171" fontId="9" fillId="10" borderId="7" xfId="0" applyNumberFormat="1" applyFont="1" applyFill="1" applyBorder="1" applyAlignment="1" applyProtection="1">
      <alignment horizontal="center" vertical="center"/>
      <protection hidden="1"/>
    </xf>
    <xf numFmtId="172" fontId="9" fillId="10" borderId="7" xfId="0" applyNumberFormat="1" applyFont="1" applyFill="1" applyBorder="1" applyAlignment="1" applyProtection="1">
      <alignment horizontal="center" vertical="center"/>
      <protection hidden="1"/>
    </xf>
    <xf numFmtId="171" fontId="9" fillId="10" borderId="46" xfId="0" applyNumberFormat="1" applyFont="1" applyFill="1" applyBorder="1" applyAlignment="1" applyProtection="1">
      <alignment horizontal="center" vertical="center"/>
      <protection hidden="1"/>
    </xf>
    <xf numFmtId="0" fontId="0" fillId="19" borderId="1" xfId="0" applyFill="1" applyBorder="1" applyAlignment="1">
      <alignment vertical="center"/>
    </xf>
    <xf numFmtId="166" fontId="0" fillId="19" borderId="1" xfId="0" applyNumberFormat="1" applyFill="1" applyBorder="1"/>
    <xf numFmtId="2" fontId="0" fillId="19" borderId="1" xfId="0" applyNumberFormat="1" applyFill="1" applyBorder="1"/>
    <xf numFmtId="0" fontId="0" fillId="19" borderId="1" xfId="0" applyFill="1" applyBorder="1"/>
    <xf numFmtId="0" fontId="0" fillId="0" borderId="1" xfId="0" applyFill="1" applyBorder="1" applyAlignment="1">
      <alignment vertical="center"/>
    </xf>
    <xf numFmtId="0" fontId="5" fillId="0" borderId="18" xfId="2" applyFont="1" applyFill="1" applyBorder="1" applyAlignment="1">
      <alignment horizontal="left" vertical="center" wrapText="1"/>
    </xf>
    <xf numFmtId="0" fontId="5" fillId="0" borderId="15" xfId="2" applyFont="1" applyFill="1" applyBorder="1" applyAlignment="1">
      <alignment horizontal="left" vertical="center" wrapText="1"/>
    </xf>
    <xf numFmtId="0" fontId="26" fillId="0" borderId="1" xfId="0" applyFont="1" applyFill="1" applyBorder="1"/>
    <xf numFmtId="164" fontId="0" fillId="0" borderId="1" xfId="0" applyNumberFormat="1" applyFill="1" applyBorder="1"/>
    <xf numFmtId="3" fontId="60" fillId="0" borderId="1" xfId="0" applyNumberFormat="1" applyFont="1" applyBorder="1"/>
    <xf numFmtId="3" fontId="59" fillId="0" borderId="1" xfId="0" applyNumberFormat="1" applyFont="1" applyBorder="1"/>
    <xf numFmtId="0" fontId="5" fillId="15" borderId="1" xfId="0" applyFont="1" applyFill="1" applyBorder="1" applyAlignment="1" applyProtection="1">
      <alignment horizontal="center" vertical="center" wrapText="1"/>
      <protection locked="0"/>
    </xf>
    <xf numFmtId="14" fontId="5" fillId="15" borderId="1" xfId="0" applyNumberFormat="1" applyFont="1" applyFill="1" applyBorder="1" applyAlignment="1" applyProtection="1">
      <alignment horizontal="center" vertical="center" wrapText="1"/>
      <protection locked="0"/>
    </xf>
    <xf numFmtId="3" fontId="5" fillId="15" borderId="1" xfId="0" applyNumberFormat="1" applyFont="1" applyFill="1" applyBorder="1" applyAlignment="1" applyProtection="1">
      <alignment horizontal="center" vertical="center" wrapText="1"/>
      <protection locked="0"/>
    </xf>
    <xf numFmtId="0" fontId="1" fillId="15" borderId="1" xfId="1" applyFill="1" applyBorder="1" applyAlignment="1" applyProtection="1">
      <alignment horizontal="center" vertical="center"/>
      <protection locked="0"/>
    </xf>
    <xf numFmtId="0" fontId="5" fillId="15" borderId="1" xfId="0" applyFont="1" applyFill="1" applyBorder="1" applyAlignment="1" applyProtection="1">
      <alignment horizontal="center" vertical="center"/>
      <protection locked="0"/>
    </xf>
    <xf numFmtId="0" fontId="33" fillId="15" borderId="1" xfId="0" applyFont="1" applyFill="1" applyBorder="1" applyAlignment="1" applyProtection="1">
      <alignment horizontal="center" vertical="center"/>
      <protection locked="0"/>
    </xf>
    <xf numFmtId="0" fontId="33" fillId="15" borderId="1" xfId="0" applyFont="1" applyFill="1" applyBorder="1" applyAlignment="1" applyProtection="1">
      <alignment horizontal="center" vertical="center" wrapText="1"/>
      <protection locked="0"/>
    </xf>
    <xf numFmtId="0" fontId="12" fillId="3" borderId="1" xfId="1" applyFont="1" applyFill="1" applyBorder="1" applyAlignment="1">
      <alignment vertical="center"/>
    </xf>
    <xf numFmtId="0" fontId="0" fillId="10" borderId="1" xfId="0" applyFill="1" applyBorder="1" applyAlignment="1" applyProtection="1">
      <alignment horizontal="left" vertical="center" wrapText="1"/>
      <protection locked="0"/>
    </xf>
    <xf numFmtId="0" fontId="5" fillId="0" borderId="7" xfId="0" applyFont="1" applyFill="1" applyBorder="1" applyAlignment="1">
      <alignment horizontal="center" vertical="center" wrapText="1"/>
    </xf>
    <xf numFmtId="0" fontId="37" fillId="0" borderId="0" xfId="0" applyFont="1" applyAlignment="1">
      <alignment horizontal="left" wrapText="1" indent="1"/>
    </xf>
    <xf numFmtId="0" fontId="5" fillId="0" borderId="0" xfId="0" applyFont="1" applyAlignment="1">
      <alignment horizontal="left" wrapText="1" indent="1"/>
    </xf>
    <xf numFmtId="0" fontId="38" fillId="0" borderId="0" xfId="0" applyFont="1" applyAlignment="1">
      <alignment horizontal="left" wrapText="1" indent="1"/>
    </xf>
    <xf numFmtId="0" fontId="36" fillId="0" borderId="0" xfId="0" applyFont="1" applyAlignment="1">
      <alignment horizontal="left" wrapText="1" indent="1"/>
    </xf>
    <xf numFmtId="0" fontId="5" fillId="0" borderId="25" xfId="0" applyFont="1" applyBorder="1" applyAlignment="1">
      <alignment horizontal="center" wrapText="1"/>
    </xf>
    <xf numFmtId="0" fontId="5" fillId="0" borderId="0" xfId="0" applyFont="1" applyAlignment="1">
      <alignment horizontal="left" vertical="top" wrapText="1" indent="1"/>
    </xf>
    <xf numFmtId="0" fontId="12" fillId="3" borderId="1" xfId="1" applyFont="1" applyFill="1" applyBorder="1" applyAlignment="1">
      <alignment horizontal="left" vertical="top" wrapText="1"/>
    </xf>
    <xf numFmtId="0" fontId="9" fillId="3" borderId="1" xfId="0" applyFont="1" applyFill="1" applyBorder="1" applyAlignment="1">
      <alignment horizontal="left" vertical="top" wrapText="1"/>
    </xf>
    <xf numFmtId="0" fontId="10" fillId="3" borderId="1" xfId="0" applyFont="1" applyFill="1" applyBorder="1" applyAlignment="1">
      <alignment horizontal="left" vertical="center" wrapText="1"/>
    </xf>
    <xf numFmtId="0" fontId="11" fillId="0" borderId="0" xfId="0" applyFont="1" applyAlignment="1">
      <alignment horizontal="left" wrapText="1"/>
    </xf>
    <xf numFmtId="0" fontId="4" fillId="2" borderId="7" xfId="0" applyFont="1" applyFill="1" applyBorder="1" applyAlignment="1">
      <alignment horizontal="left" vertical="center" wrapText="1"/>
    </xf>
    <xf numFmtId="0" fontId="4" fillId="16" borderId="1" xfId="0" applyFont="1" applyFill="1" applyBorder="1" applyAlignment="1">
      <alignment horizontal="left" vertical="center" wrapText="1"/>
    </xf>
    <xf numFmtId="0" fontId="9" fillId="3" borderId="1" xfId="0" applyFont="1" applyFill="1" applyBorder="1" applyAlignment="1">
      <alignment horizontal="left" vertical="center" wrapText="1"/>
    </xf>
    <xf numFmtId="0" fontId="58" fillId="0" borderId="0" xfId="0" applyFont="1" applyProtection="1">
      <protection hidden="1"/>
    </xf>
    <xf numFmtId="0" fontId="56" fillId="16" borderId="1" xfId="0" applyFont="1" applyFill="1" applyBorder="1" applyAlignment="1" applyProtection="1">
      <alignment horizontal="center" vertical="center" wrapText="1"/>
      <protection hidden="1"/>
    </xf>
    <xf numFmtId="0" fontId="33" fillId="0" borderId="0" xfId="0" applyFont="1" applyAlignment="1" applyProtection="1">
      <alignment horizontal="left" vertical="top" wrapText="1"/>
      <protection hidden="1"/>
    </xf>
    <xf numFmtId="0" fontId="47" fillId="0" borderId="0" xfId="0" applyFont="1" applyAlignment="1" applyProtection="1">
      <alignment horizontal="left" vertical="top" wrapText="1"/>
      <protection hidden="1"/>
    </xf>
    <xf numFmtId="0" fontId="56" fillId="16" borderId="51" xfId="0" applyFont="1" applyFill="1" applyBorder="1" applyAlignment="1" applyProtection="1">
      <alignment horizontal="center" vertical="center" wrapText="1"/>
      <protection hidden="1"/>
    </xf>
    <xf numFmtId="0" fontId="56" fillId="16" borderId="52" xfId="0" applyFont="1" applyFill="1" applyBorder="1" applyAlignment="1" applyProtection="1">
      <alignment horizontal="center" vertical="center" wrapText="1"/>
      <protection hidden="1"/>
    </xf>
    <xf numFmtId="0" fontId="56" fillId="16" borderId="53" xfId="0" applyFont="1" applyFill="1" applyBorder="1" applyAlignment="1" applyProtection="1">
      <alignment horizontal="center" vertical="center" wrapText="1"/>
      <protection hidden="1"/>
    </xf>
    <xf numFmtId="0" fontId="49" fillId="0" borderId="1" xfId="0" applyFont="1" applyBorder="1" applyAlignment="1" applyProtection="1">
      <alignment horizontal="center"/>
      <protection hidden="1"/>
    </xf>
    <xf numFmtId="0" fontId="49" fillId="12" borderId="1" xfId="0" applyFont="1" applyFill="1" applyBorder="1" applyAlignment="1" applyProtection="1">
      <alignment horizontal="center"/>
      <protection locked="0"/>
    </xf>
    <xf numFmtId="0" fontId="56" fillId="16" borderId="54" xfId="0" applyFont="1" applyFill="1" applyBorder="1" applyAlignment="1" applyProtection="1">
      <alignment horizontal="center" vertical="center" wrapText="1"/>
      <protection hidden="1"/>
    </xf>
    <xf numFmtId="0" fontId="56" fillId="16" borderId="55" xfId="0" applyFont="1" applyFill="1" applyBorder="1" applyAlignment="1" applyProtection="1">
      <alignment horizontal="center" vertical="center" wrapText="1"/>
      <protection hidden="1"/>
    </xf>
    <xf numFmtId="0" fontId="48" fillId="10" borderId="31" xfId="0" applyFont="1" applyFill="1" applyBorder="1" applyAlignment="1">
      <alignment horizontal="left" vertical="top" wrapText="1"/>
    </xf>
    <xf numFmtId="0" fontId="48" fillId="10" borderId="0" xfId="0" applyFont="1" applyFill="1" applyBorder="1" applyAlignment="1">
      <alignment horizontal="left" vertical="top" wrapText="1"/>
    </xf>
    <xf numFmtId="0" fontId="48" fillId="10" borderId="32" xfId="0" applyFont="1" applyFill="1" applyBorder="1" applyAlignment="1">
      <alignment horizontal="left" vertical="top" wrapText="1"/>
    </xf>
    <xf numFmtId="0" fontId="48" fillId="10" borderId="41" xfId="0" applyFont="1" applyFill="1" applyBorder="1" applyAlignment="1">
      <alignment horizontal="left" vertical="top" wrapText="1"/>
    </xf>
    <xf numFmtId="0" fontId="48" fillId="10" borderId="26" xfId="0" applyFont="1" applyFill="1" applyBorder="1" applyAlignment="1">
      <alignment horizontal="left" vertical="top" wrapText="1"/>
    </xf>
    <xf numFmtId="0" fontId="48" fillId="10" borderId="42" xfId="0" applyFont="1" applyFill="1" applyBorder="1" applyAlignment="1">
      <alignment horizontal="left" vertical="top" wrapText="1"/>
    </xf>
    <xf numFmtId="0" fontId="47" fillId="0" borderId="0" xfId="0" applyFont="1" applyAlignment="1">
      <alignment vertical="top" wrapText="1"/>
    </xf>
    <xf numFmtId="164" fontId="14" fillId="12" borderId="1" xfId="0" applyNumberFormat="1" applyFont="1" applyFill="1" applyBorder="1" applyAlignment="1" applyProtection="1">
      <alignment horizontal="center" vertical="center"/>
      <protection hidden="1"/>
    </xf>
    <xf numFmtId="164" fontId="0" fillId="10" borderId="1" xfId="0" applyNumberFormat="1" applyFill="1" applyBorder="1" applyAlignment="1" applyProtection="1">
      <alignment horizontal="center" vertical="center"/>
      <protection locked="0"/>
    </xf>
    <xf numFmtId="164" fontId="11" fillId="12" borderId="1" xfId="0" applyNumberFormat="1" applyFont="1" applyFill="1" applyBorder="1" applyAlignment="1" applyProtection="1">
      <alignment horizontal="center" vertical="center"/>
      <protection hidden="1"/>
    </xf>
    <xf numFmtId="164" fontId="9" fillId="10" borderId="1" xfId="0" applyNumberFormat="1" applyFont="1" applyFill="1" applyBorder="1" applyAlignment="1" applyProtection="1">
      <alignment horizontal="center" vertical="center" wrapText="1"/>
      <protection locked="0"/>
    </xf>
    <xf numFmtId="164" fontId="10" fillId="12" borderId="1" xfId="0" applyNumberFormat="1" applyFont="1" applyFill="1" applyBorder="1" applyAlignment="1" applyProtection="1">
      <alignment horizontal="center"/>
      <protection hidden="1"/>
    </xf>
    <xf numFmtId="164" fontId="14" fillId="18" borderId="15" xfId="0" applyNumberFormat="1" applyFont="1" applyFill="1" applyBorder="1" applyAlignment="1" applyProtection="1">
      <alignment horizontal="center" vertical="center"/>
      <protection hidden="1"/>
    </xf>
  </cellXfs>
  <cellStyles count="9">
    <cellStyle name="Calculation" xfId="5" builtinId="22"/>
    <cellStyle name="Comma" xfId="4" builtinId="3"/>
    <cellStyle name="Currency" xfId="8" builtinId="4"/>
    <cellStyle name="Heading 1" xfId="6" builtinId="16"/>
    <cellStyle name="Hyperlink" xfId="1" builtinId="8"/>
    <cellStyle name="Input 2" xfId="3" xr:uid="{00000000-0005-0000-0000-000002000000}"/>
    <cellStyle name="Locked Cell" xfId="2" xr:uid="{00000000-0005-0000-0000-000003000000}"/>
    <cellStyle name="Normal" xfId="0" builtinId="0"/>
    <cellStyle name="Percent" xfId="7" builtinId="5"/>
  </cellStyles>
  <dxfs count="10">
    <dxf>
      <fill>
        <patternFill>
          <bgColor rgb="FFFFFF00"/>
        </patternFill>
      </fill>
    </dxf>
    <dxf>
      <fill>
        <patternFill>
          <bgColor rgb="FFFFFF00"/>
        </patternFill>
      </fill>
    </dxf>
    <dxf>
      <fill>
        <patternFill patternType="darkGray"/>
      </fill>
    </dxf>
    <dxf>
      <fill>
        <patternFill patternType="darkGray"/>
      </fill>
    </dxf>
    <dxf>
      <fill>
        <patternFill patternType="darkGray"/>
      </fill>
    </dxf>
    <dxf>
      <fill>
        <patternFill>
          <bgColor theme="1"/>
        </patternFill>
      </fill>
    </dxf>
    <dxf>
      <fill>
        <patternFill>
          <bgColor theme="1"/>
        </patternFill>
      </fill>
    </dxf>
    <dxf>
      <fill>
        <patternFill patternType="gray125">
          <fgColor theme="7"/>
        </patternFill>
      </fill>
    </dxf>
    <dxf>
      <fill>
        <patternFill patternType="mediumGray">
          <fgColor theme="7"/>
        </patternFill>
      </fill>
    </dxf>
    <dxf>
      <border>
        <vertical style="thin">
          <color auto="1"/>
        </vertical>
        <horizontal style="thin">
          <color auto="1"/>
        </horizontal>
      </border>
    </dxf>
  </dxfs>
  <tableStyles count="1" defaultTableStyle="TableStyleMedium2" defaultPivotStyle="PivotStyleLight16">
    <tableStyle name="Input Cells" pivot="0" count="3" xr9:uid="{00000000-0011-0000-FFFF-FFFF00000000}">
      <tableStyleElement type="wholeTable" dxfId="9"/>
      <tableStyleElement type="firstRowStripe" dxfId="8"/>
      <tableStyleElement type="secondRowStripe" dxfId="7"/>
    </tableStyle>
  </tableStyles>
  <colors>
    <mruColors>
      <color rgb="FFED1653"/>
      <color rgb="FF9CAF88"/>
      <color rgb="FF003C7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editAs="oneCell">
    <xdr:from>
      <xdr:col>1</xdr:col>
      <xdr:colOff>1905</xdr:colOff>
      <xdr:row>1</xdr:row>
      <xdr:rowOff>228600</xdr:rowOff>
    </xdr:from>
    <xdr:to>
      <xdr:col>2</xdr:col>
      <xdr:colOff>577215</xdr:colOff>
      <xdr:row>3</xdr:row>
      <xdr:rowOff>176192</xdr:rowOff>
    </xdr:to>
    <xdr:pic>
      <xdr:nvPicPr>
        <xdr:cNvPr id="4" name="Picture 3">
          <a:extLst>
            <a:ext uri="{FF2B5EF4-FFF2-40B4-BE49-F238E27FC236}">
              <a16:creationId xmlns:a16="http://schemas.microsoft.com/office/drawing/2014/main" id="{BAE9468E-2155-4578-A278-8C541F9C3E1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4785" y="335280"/>
          <a:ext cx="3158490" cy="671492"/>
        </a:xfrm>
        <a:prstGeom prst="rect">
          <a:avLst/>
        </a:prstGeom>
      </xdr:spPr>
    </xdr:pic>
    <xdr:clientData/>
  </xdr:twoCellAnchor>
  <xdr:twoCellAnchor editAs="oneCell">
    <xdr:from>
      <xdr:col>1</xdr:col>
      <xdr:colOff>102870</xdr:colOff>
      <xdr:row>48</xdr:row>
      <xdr:rowOff>266700</xdr:rowOff>
    </xdr:from>
    <xdr:to>
      <xdr:col>1</xdr:col>
      <xdr:colOff>1634490</xdr:colOff>
      <xdr:row>49</xdr:row>
      <xdr:rowOff>232521</xdr:rowOff>
    </xdr:to>
    <xdr:pic>
      <xdr:nvPicPr>
        <xdr:cNvPr id="2" name="Picture 1">
          <a:extLst>
            <a:ext uri="{FF2B5EF4-FFF2-40B4-BE49-F238E27FC236}">
              <a16:creationId xmlns:a16="http://schemas.microsoft.com/office/drawing/2014/main" id="{6F4E4DD8-BC62-43EC-8869-662233DD7E7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5750" y="18547080"/>
          <a:ext cx="1527810" cy="3715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69273</xdr:colOff>
      <xdr:row>1</xdr:row>
      <xdr:rowOff>103909</xdr:rowOff>
    </xdr:from>
    <xdr:to>
      <xdr:col>1</xdr:col>
      <xdr:colOff>809305</xdr:colOff>
      <xdr:row>2</xdr:row>
      <xdr:rowOff>60614</xdr:rowOff>
    </xdr:to>
    <xdr:pic>
      <xdr:nvPicPr>
        <xdr:cNvPr id="6" name="Picture 5">
          <a:extLst>
            <a:ext uri="{FF2B5EF4-FFF2-40B4-BE49-F238E27FC236}">
              <a16:creationId xmlns:a16="http://schemas.microsoft.com/office/drawing/2014/main" id="{D8ECAC1A-2ADD-7C8F-7DA9-11C046484C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273" y="285750"/>
          <a:ext cx="2489168" cy="528205"/>
        </a:xfrm>
        <a:prstGeom prst="rect">
          <a:avLst/>
        </a:prstGeom>
      </xdr:spPr>
    </xdr:pic>
    <xdr:clientData/>
  </xdr:twoCellAnchor>
  <xdr:twoCellAnchor editAs="oneCell">
    <xdr:from>
      <xdr:col>3</xdr:col>
      <xdr:colOff>554181</xdr:colOff>
      <xdr:row>47</xdr:row>
      <xdr:rowOff>142777</xdr:rowOff>
    </xdr:from>
    <xdr:to>
      <xdr:col>4</xdr:col>
      <xdr:colOff>772102</xdr:colOff>
      <xdr:row>50</xdr:row>
      <xdr:rowOff>43295</xdr:rowOff>
    </xdr:to>
    <xdr:pic>
      <xdr:nvPicPr>
        <xdr:cNvPr id="8" name="Picture 7">
          <a:extLst>
            <a:ext uri="{FF2B5EF4-FFF2-40B4-BE49-F238E27FC236}">
              <a16:creationId xmlns:a16="http://schemas.microsoft.com/office/drawing/2014/main" id="{E147B528-DC8A-C3D8-A640-FEB6BFC4BBD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66954" y="9737050"/>
          <a:ext cx="1265671" cy="31615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33618</xdr:colOff>
      <xdr:row>1</xdr:row>
      <xdr:rowOff>100854</xdr:rowOff>
    </xdr:from>
    <xdr:to>
      <xdr:col>20</xdr:col>
      <xdr:colOff>426365</xdr:colOff>
      <xdr:row>19</xdr:row>
      <xdr:rowOff>60648</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14085794" y="291354"/>
          <a:ext cx="4628571" cy="3400000"/>
        </a:xfrm>
        <a:prstGeom prst="rect">
          <a:avLst/>
        </a:prstGeom>
        <a:ln>
          <a:solidFill>
            <a:schemeClr val="accent1"/>
          </a:solidFill>
        </a:ln>
      </xdr:spPr>
    </xdr:pic>
    <xdr:clientData/>
  </xdr:twoCellAnchor>
  <xdr:twoCellAnchor editAs="oneCell">
    <xdr:from>
      <xdr:col>13</xdr:col>
      <xdr:colOff>11205</xdr:colOff>
      <xdr:row>25</xdr:row>
      <xdr:rowOff>-1</xdr:rowOff>
    </xdr:from>
    <xdr:to>
      <xdr:col>20</xdr:col>
      <xdr:colOff>527762</xdr:colOff>
      <xdr:row>50</xdr:row>
      <xdr:rowOff>180354</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14063381" y="4807323"/>
          <a:ext cx="4752381" cy="4961905"/>
        </a:xfrm>
        <a:prstGeom prst="rect">
          <a:avLst/>
        </a:prstGeom>
        <a:ln>
          <a:solidFill>
            <a:schemeClr val="accent1"/>
          </a:solidFill>
        </a:ln>
      </xdr:spPr>
    </xdr:pic>
    <xdr:clientData/>
  </xdr:twoCellAnchor>
  <xdr:twoCellAnchor>
    <xdr:from>
      <xdr:col>12</xdr:col>
      <xdr:colOff>582706</xdr:colOff>
      <xdr:row>56</xdr:row>
      <xdr:rowOff>56029</xdr:rowOff>
    </xdr:from>
    <xdr:to>
      <xdr:col>20</xdr:col>
      <xdr:colOff>560813</xdr:colOff>
      <xdr:row>82</xdr:row>
      <xdr:rowOff>65460</xdr:rowOff>
    </xdr:to>
    <xdr:grpSp>
      <xdr:nvGrpSpPr>
        <xdr:cNvPr id="7" name="Group 6">
          <a:extLst>
            <a:ext uri="{FF2B5EF4-FFF2-40B4-BE49-F238E27FC236}">
              <a16:creationId xmlns:a16="http://schemas.microsoft.com/office/drawing/2014/main" id="{00000000-0008-0000-0800-000007000000}"/>
            </a:ext>
          </a:extLst>
        </xdr:cNvPr>
        <xdr:cNvGrpSpPr/>
      </xdr:nvGrpSpPr>
      <xdr:grpSpPr>
        <a:xfrm>
          <a:off x="14118789" y="11041529"/>
          <a:ext cx="4888774" cy="4962431"/>
          <a:chOff x="5486400" y="381000"/>
          <a:chExt cx="4819048" cy="4962431"/>
        </a:xfrm>
      </xdr:grpSpPr>
      <xdr:pic>
        <xdr:nvPicPr>
          <xdr:cNvPr id="8" name="Picture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3"/>
          <a:stretch>
            <a:fillRect/>
          </a:stretch>
        </xdr:blipFill>
        <xdr:spPr>
          <a:xfrm>
            <a:off x="5486400" y="381000"/>
            <a:ext cx="4819048" cy="4266667"/>
          </a:xfrm>
          <a:prstGeom prst="rect">
            <a:avLst/>
          </a:prstGeom>
          <a:ln>
            <a:solidFill>
              <a:schemeClr val="accent1"/>
            </a:solidFill>
          </a:ln>
        </xdr:spPr>
      </xdr:pic>
      <xdr:pic>
        <xdr:nvPicPr>
          <xdr:cNvPr id="9" name="Picture 8">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4"/>
          <a:stretch>
            <a:fillRect/>
          </a:stretch>
        </xdr:blipFill>
        <xdr:spPr>
          <a:xfrm>
            <a:off x="5838825" y="4591050"/>
            <a:ext cx="4361905" cy="752381"/>
          </a:xfrm>
          <a:prstGeom prst="rect">
            <a:avLst/>
          </a:prstGeom>
          <a:ln>
            <a:solidFill>
              <a:schemeClr val="accent1"/>
            </a:solidFill>
          </a:ln>
        </xdr:spPr>
      </xdr:pic>
    </xdr:grpSp>
    <xdr:clientData/>
  </xdr:twoCellAnchor>
  <xdr:twoCellAnchor editAs="oneCell">
    <xdr:from>
      <xdr:col>3</xdr:col>
      <xdr:colOff>263592</xdr:colOff>
      <xdr:row>1</xdr:row>
      <xdr:rowOff>82511</xdr:rowOff>
    </xdr:from>
    <xdr:to>
      <xdr:col>12</xdr:col>
      <xdr:colOff>406745</xdr:colOff>
      <xdr:row>20</xdr:row>
      <xdr:rowOff>168089</xdr:rowOff>
    </xdr:to>
    <xdr:pic>
      <xdr:nvPicPr>
        <xdr:cNvPr id="13" name="Picture 12">
          <a:extLst>
            <a:ext uri="{FF2B5EF4-FFF2-40B4-BE49-F238E27FC236}">
              <a16:creationId xmlns:a16="http://schemas.microsoft.com/office/drawing/2014/main" id="{00000000-0008-0000-0800-00000D000000}"/>
            </a:ext>
          </a:extLst>
        </xdr:cNvPr>
        <xdr:cNvPicPr>
          <a:picLocks noChangeAspect="1"/>
        </xdr:cNvPicPr>
      </xdr:nvPicPr>
      <xdr:blipFill>
        <a:blip xmlns:r="http://schemas.openxmlformats.org/officeDocument/2006/relationships" r:embed="rId5"/>
        <a:stretch>
          <a:fillRect/>
        </a:stretch>
      </xdr:blipFill>
      <xdr:spPr>
        <a:xfrm>
          <a:off x="8264592" y="340246"/>
          <a:ext cx="5589212" cy="3716284"/>
        </a:xfrm>
        <a:prstGeom prst="rect">
          <a:avLst/>
        </a:prstGeom>
        <a:ln>
          <a:solidFill>
            <a:schemeClr val="accent1"/>
          </a:solidFill>
        </a:ln>
      </xdr:spPr>
    </xdr:pic>
    <xdr:clientData/>
  </xdr:twoCellAnchor>
  <xdr:twoCellAnchor>
    <xdr:from>
      <xdr:col>13</xdr:col>
      <xdr:colOff>0</xdr:colOff>
      <xdr:row>87</xdr:row>
      <xdr:rowOff>0</xdr:rowOff>
    </xdr:from>
    <xdr:to>
      <xdr:col>20</xdr:col>
      <xdr:colOff>507033</xdr:colOff>
      <xdr:row>166</xdr:row>
      <xdr:rowOff>151799</xdr:rowOff>
    </xdr:to>
    <xdr:grpSp>
      <xdr:nvGrpSpPr>
        <xdr:cNvPr id="14" name="Group 13">
          <a:extLst>
            <a:ext uri="{FF2B5EF4-FFF2-40B4-BE49-F238E27FC236}">
              <a16:creationId xmlns:a16="http://schemas.microsoft.com/office/drawing/2014/main" id="{00000000-0008-0000-0800-00000E000000}"/>
            </a:ext>
          </a:extLst>
        </xdr:cNvPr>
        <xdr:cNvGrpSpPr/>
      </xdr:nvGrpSpPr>
      <xdr:grpSpPr>
        <a:xfrm>
          <a:off x="14149917" y="16965083"/>
          <a:ext cx="4803866" cy="15201299"/>
          <a:chOff x="11010900" y="228600"/>
          <a:chExt cx="4742857" cy="15201299"/>
        </a:xfrm>
      </xdr:grpSpPr>
      <xdr:grpSp>
        <xdr:nvGrpSpPr>
          <xdr:cNvPr id="15" name="Group 14">
            <a:extLst>
              <a:ext uri="{FF2B5EF4-FFF2-40B4-BE49-F238E27FC236}">
                <a16:creationId xmlns:a16="http://schemas.microsoft.com/office/drawing/2014/main" id="{00000000-0008-0000-0800-00000F000000}"/>
              </a:ext>
            </a:extLst>
          </xdr:cNvPr>
          <xdr:cNvGrpSpPr/>
        </xdr:nvGrpSpPr>
        <xdr:grpSpPr>
          <a:xfrm>
            <a:off x="11010900" y="228600"/>
            <a:ext cx="4742857" cy="10391454"/>
            <a:chOff x="11010900" y="228600"/>
            <a:chExt cx="4742857" cy="10391454"/>
          </a:xfrm>
        </xdr:grpSpPr>
        <xdr:pic>
          <xdr:nvPicPr>
            <xdr:cNvPr id="17" name="Picture 16">
              <a:extLst>
                <a:ext uri="{FF2B5EF4-FFF2-40B4-BE49-F238E27FC236}">
                  <a16:creationId xmlns:a16="http://schemas.microsoft.com/office/drawing/2014/main" id="{00000000-0008-0000-0800-000011000000}"/>
                </a:ext>
              </a:extLst>
            </xdr:cNvPr>
            <xdr:cNvPicPr>
              <a:picLocks noChangeAspect="1"/>
            </xdr:cNvPicPr>
          </xdr:nvPicPr>
          <xdr:blipFill>
            <a:blip xmlns:r="http://schemas.openxmlformats.org/officeDocument/2006/relationships" r:embed="rId6"/>
            <a:stretch>
              <a:fillRect/>
            </a:stretch>
          </xdr:blipFill>
          <xdr:spPr>
            <a:xfrm>
              <a:off x="11010900" y="8048625"/>
              <a:ext cx="4742857" cy="2571429"/>
            </a:xfrm>
            <a:prstGeom prst="rect">
              <a:avLst/>
            </a:prstGeom>
            <a:ln>
              <a:solidFill>
                <a:schemeClr val="accent1"/>
              </a:solidFill>
            </a:ln>
          </xdr:spPr>
        </xdr:pic>
        <xdr:pic>
          <xdr:nvPicPr>
            <xdr:cNvPr id="18" name="Picture 17">
              <a:extLst>
                <a:ext uri="{FF2B5EF4-FFF2-40B4-BE49-F238E27FC236}">
                  <a16:creationId xmlns:a16="http://schemas.microsoft.com/office/drawing/2014/main" id="{00000000-0008-0000-0800-000012000000}"/>
                </a:ext>
              </a:extLst>
            </xdr:cNvPr>
            <xdr:cNvPicPr>
              <a:picLocks noChangeAspect="1"/>
            </xdr:cNvPicPr>
          </xdr:nvPicPr>
          <xdr:blipFill>
            <a:blip xmlns:r="http://schemas.openxmlformats.org/officeDocument/2006/relationships" r:embed="rId7"/>
            <a:stretch>
              <a:fillRect/>
            </a:stretch>
          </xdr:blipFill>
          <xdr:spPr>
            <a:xfrm>
              <a:off x="11049000" y="228600"/>
              <a:ext cx="4676190" cy="7780952"/>
            </a:xfrm>
            <a:prstGeom prst="rect">
              <a:avLst/>
            </a:prstGeom>
            <a:ln>
              <a:solidFill>
                <a:schemeClr val="accent1"/>
              </a:solidFill>
            </a:ln>
          </xdr:spPr>
        </xdr:pic>
      </xdr:grpSp>
      <xdr:pic>
        <xdr:nvPicPr>
          <xdr:cNvPr id="16" name="Picture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8"/>
          <a:stretch>
            <a:fillRect/>
          </a:stretch>
        </xdr:blipFill>
        <xdr:spPr>
          <a:xfrm>
            <a:off x="11058525" y="10620375"/>
            <a:ext cx="4657143" cy="4809524"/>
          </a:xfrm>
          <a:prstGeom prst="rect">
            <a:avLst/>
          </a:prstGeom>
          <a:ln>
            <a:solidFill>
              <a:schemeClr val="accent1"/>
            </a:solidFill>
          </a:ln>
        </xdr:spPr>
      </xdr:pic>
    </xdr:grpSp>
    <xdr:clientData/>
  </xdr:twoCellAnchor>
  <xdr:twoCellAnchor>
    <xdr:from>
      <xdr:col>27</xdr:col>
      <xdr:colOff>0</xdr:colOff>
      <xdr:row>2</xdr:row>
      <xdr:rowOff>0</xdr:rowOff>
    </xdr:from>
    <xdr:to>
      <xdr:col>43</xdr:col>
      <xdr:colOff>13356</xdr:colOff>
      <xdr:row>57</xdr:row>
      <xdr:rowOff>59359</xdr:rowOff>
    </xdr:to>
    <xdr:grpSp>
      <xdr:nvGrpSpPr>
        <xdr:cNvPr id="19" name="Group 18">
          <a:extLst>
            <a:ext uri="{FF2B5EF4-FFF2-40B4-BE49-F238E27FC236}">
              <a16:creationId xmlns:a16="http://schemas.microsoft.com/office/drawing/2014/main" id="{00000000-0008-0000-0800-000013000000}"/>
            </a:ext>
          </a:extLst>
        </xdr:cNvPr>
        <xdr:cNvGrpSpPr/>
      </xdr:nvGrpSpPr>
      <xdr:grpSpPr>
        <a:xfrm>
          <a:off x="22743583" y="455083"/>
          <a:ext cx="9834690" cy="10780276"/>
          <a:chOff x="609600" y="0"/>
          <a:chExt cx="9695238" cy="10962683"/>
        </a:xfrm>
      </xdr:grpSpPr>
      <xdr:pic>
        <xdr:nvPicPr>
          <xdr:cNvPr id="20" name="Picture 19">
            <a:extLst>
              <a:ext uri="{FF2B5EF4-FFF2-40B4-BE49-F238E27FC236}">
                <a16:creationId xmlns:a16="http://schemas.microsoft.com/office/drawing/2014/main" id="{00000000-0008-0000-0800-000014000000}"/>
              </a:ext>
            </a:extLst>
          </xdr:cNvPr>
          <xdr:cNvPicPr>
            <a:picLocks noChangeAspect="1"/>
          </xdr:cNvPicPr>
        </xdr:nvPicPr>
        <xdr:blipFill>
          <a:blip xmlns:r="http://schemas.openxmlformats.org/officeDocument/2006/relationships" r:embed="rId9"/>
          <a:stretch>
            <a:fillRect/>
          </a:stretch>
        </xdr:blipFill>
        <xdr:spPr>
          <a:xfrm>
            <a:off x="609600" y="0"/>
            <a:ext cx="9695238" cy="6761905"/>
          </a:xfrm>
          <a:prstGeom prst="rect">
            <a:avLst/>
          </a:prstGeom>
          <a:ln>
            <a:solidFill>
              <a:schemeClr val="accent1"/>
            </a:solidFill>
          </a:ln>
        </xdr:spPr>
      </xdr:pic>
      <xdr:pic>
        <xdr:nvPicPr>
          <xdr:cNvPr id="21" name="Picture 20">
            <a:extLst>
              <a:ext uri="{FF2B5EF4-FFF2-40B4-BE49-F238E27FC236}">
                <a16:creationId xmlns:a16="http://schemas.microsoft.com/office/drawing/2014/main" id="{00000000-0008-0000-0800-000015000000}"/>
              </a:ext>
            </a:extLst>
          </xdr:cNvPr>
          <xdr:cNvPicPr>
            <a:picLocks noChangeAspect="1"/>
          </xdr:cNvPicPr>
        </xdr:nvPicPr>
        <xdr:blipFill>
          <a:blip xmlns:r="http://schemas.openxmlformats.org/officeDocument/2006/relationships" r:embed="rId10"/>
          <a:stretch>
            <a:fillRect/>
          </a:stretch>
        </xdr:blipFill>
        <xdr:spPr>
          <a:xfrm>
            <a:off x="685800" y="6229350"/>
            <a:ext cx="9295238" cy="4733333"/>
          </a:xfrm>
          <a:prstGeom prst="rect">
            <a:avLst/>
          </a:prstGeom>
          <a:ln>
            <a:solidFill>
              <a:schemeClr val="accent1"/>
            </a:solidFill>
          </a:ln>
        </xdr:spPr>
      </xdr:pic>
    </xdr:grpSp>
    <xdr:clientData/>
  </xdr:twoCellAnchor>
  <xdr:twoCellAnchor>
    <xdr:from>
      <xdr:col>44</xdr:col>
      <xdr:colOff>76200</xdr:colOff>
      <xdr:row>2</xdr:row>
      <xdr:rowOff>0</xdr:rowOff>
    </xdr:from>
    <xdr:to>
      <xdr:col>60</xdr:col>
      <xdr:colOff>137196</xdr:colOff>
      <xdr:row>68</xdr:row>
      <xdr:rowOff>49553</xdr:rowOff>
    </xdr:to>
    <xdr:grpSp>
      <xdr:nvGrpSpPr>
        <xdr:cNvPr id="22" name="Group 21">
          <a:extLst>
            <a:ext uri="{FF2B5EF4-FFF2-40B4-BE49-F238E27FC236}">
              <a16:creationId xmlns:a16="http://schemas.microsoft.com/office/drawing/2014/main" id="{00000000-0008-0000-0800-000016000000}"/>
            </a:ext>
          </a:extLst>
        </xdr:cNvPr>
        <xdr:cNvGrpSpPr/>
      </xdr:nvGrpSpPr>
      <xdr:grpSpPr>
        <a:xfrm>
          <a:off x="33254950" y="455083"/>
          <a:ext cx="9882329" cy="12865970"/>
          <a:chOff x="10972800" y="0"/>
          <a:chExt cx="9742878" cy="13048377"/>
        </a:xfrm>
      </xdr:grpSpPr>
      <xdr:pic>
        <xdr:nvPicPr>
          <xdr:cNvPr id="23" name="Picture 22">
            <a:extLst>
              <a:ext uri="{FF2B5EF4-FFF2-40B4-BE49-F238E27FC236}">
                <a16:creationId xmlns:a16="http://schemas.microsoft.com/office/drawing/2014/main" id="{00000000-0008-0000-0800-000017000000}"/>
              </a:ext>
            </a:extLst>
          </xdr:cNvPr>
          <xdr:cNvPicPr>
            <a:picLocks noChangeAspect="1"/>
          </xdr:cNvPicPr>
        </xdr:nvPicPr>
        <xdr:blipFill>
          <a:blip xmlns:r="http://schemas.openxmlformats.org/officeDocument/2006/relationships" r:embed="rId11"/>
          <a:stretch>
            <a:fillRect/>
          </a:stretch>
        </xdr:blipFill>
        <xdr:spPr>
          <a:xfrm>
            <a:off x="10972800" y="0"/>
            <a:ext cx="9552381" cy="6085714"/>
          </a:xfrm>
          <a:prstGeom prst="rect">
            <a:avLst/>
          </a:prstGeom>
          <a:ln>
            <a:solidFill>
              <a:schemeClr val="accent1"/>
            </a:solidFill>
          </a:ln>
        </xdr:spPr>
      </xdr:pic>
      <xdr:pic>
        <xdr:nvPicPr>
          <xdr:cNvPr id="24" name="Picture 23">
            <a:extLst>
              <a:ext uri="{FF2B5EF4-FFF2-40B4-BE49-F238E27FC236}">
                <a16:creationId xmlns:a16="http://schemas.microsoft.com/office/drawing/2014/main" id="{00000000-0008-0000-0800-000018000000}"/>
              </a:ext>
            </a:extLst>
          </xdr:cNvPr>
          <xdr:cNvPicPr>
            <a:picLocks noChangeAspect="1"/>
          </xdr:cNvPicPr>
        </xdr:nvPicPr>
        <xdr:blipFill>
          <a:blip xmlns:r="http://schemas.openxmlformats.org/officeDocument/2006/relationships" r:embed="rId12"/>
          <a:stretch>
            <a:fillRect/>
          </a:stretch>
        </xdr:blipFill>
        <xdr:spPr>
          <a:xfrm>
            <a:off x="11144250" y="6067425"/>
            <a:ext cx="9571428" cy="6980952"/>
          </a:xfrm>
          <a:prstGeom prst="rect">
            <a:avLst/>
          </a:prstGeom>
          <a:ln>
            <a:solidFill>
              <a:schemeClr val="accent1"/>
            </a:solidFill>
          </a:ln>
        </xdr:spPr>
      </xdr:pic>
    </xdr:grpSp>
    <xdr:clientData/>
  </xdr:twoCellAnchor>
  <xdr:twoCellAnchor editAs="oneCell">
    <xdr:from>
      <xdr:col>62</xdr:col>
      <xdr:colOff>0</xdr:colOff>
      <xdr:row>2</xdr:row>
      <xdr:rowOff>0</xdr:rowOff>
    </xdr:from>
    <xdr:to>
      <xdr:col>78</xdr:col>
      <xdr:colOff>108593</xdr:colOff>
      <xdr:row>14</xdr:row>
      <xdr:rowOff>94952</xdr:rowOff>
    </xdr:to>
    <xdr:pic>
      <xdr:nvPicPr>
        <xdr:cNvPr id="25" name="Picture 24">
          <a:extLst>
            <a:ext uri="{FF2B5EF4-FFF2-40B4-BE49-F238E27FC236}">
              <a16:creationId xmlns:a16="http://schemas.microsoft.com/office/drawing/2014/main" id="{00000000-0008-0000-0800-000019000000}"/>
            </a:ext>
          </a:extLst>
        </xdr:cNvPr>
        <xdr:cNvPicPr>
          <a:picLocks noChangeAspect="1"/>
        </xdr:cNvPicPr>
      </xdr:nvPicPr>
      <xdr:blipFill>
        <a:blip xmlns:r="http://schemas.openxmlformats.org/officeDocument/2006/relationships" r:embed="rId13"/>
        <a:stretch>
          <a:fillRect/>
        </a:stretch>
      </xdr:blipFill>
      <xdr:spPr>
        <a:xfrm>
          <a:off x="43702941" y="459441"/>
          <a:ext cx="9790476" cy="2380952"/>
        </a:xfrm>
        <a:prstGeom prst="rect">
          <a:avLst/>
        </a:prstGeom>
        <a:ln>
          <a:solidFill>
            <a:schemeClr val="accent1"/>
          </a:solidFill>
        </a:ln>
      </xdr:spPr>
    </xdr:pic>
    <xdr:clientData/>
  </xdr:twoCellAnchor>
  <xdr:twoCellAnchor editAs="oneCell">
    <xdr:from>
      <xdr:col>80</xdr:col>
      <xdr:colOff>0</xdr:colOff>
      <xdr:row>2</xdr:row>
      <xdr:rowOff>0</xdr:rowOff>
    </xdr:from>
    <xdr:to>
      <xdr:col>96</xdr:col>
      <xdr:colOff>80023</xdr:colOff>
      <xdr:row>40</xdr:row>
      <xdr:rowOff>127924</xdr:rowOff>
    </xdr:to>
    <xdr:pic>
      <xdr:nvPicPr>
        <xdr:cNvPr id="26" name="Picture 25">
          <a:extLst>
            <a:ext uri="{FF2B5EF4-FFF2-40B4-BE49-F238E27FC236}">
              <a16:creationId xmlns:a16="http://schemas.microsoft.com/office/drawing/2014/main" id="{00000000-0008-0000-0800-00001A000000}"/>
            </a:ext>
          </a:extLst>
        </xdr:cNvPr>
        <xdr:cNvPicPr>
          <a:picLocks noChangeAspect="1"/>
        </xdr:cNvPicPr>
      </xdr:nvPicPr>
      <xdr:blipFill>
        <a:blip xmlns:r="http://schemas.openxmlformats.org/officeDocument/2006/relationships" r:embed="rId14"/>
        <a:stretch>
          <a:fillRect/>
        </a:stretch>
      </xdr:blipFill>
      <xdr:spPr>
        <a:xfrm>
          <a:off x="54595059" y="459441"/>
          <a:ext cx="9761905" cy="7542857"/>
        </a:xfrm>
        <a:prstGeom prst="rect">
          <a:avLst/>
        </a:prstGeom>
        <a:ln>
          <a:solidFill>
            <a:schemeClr val="accent1"/>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74543</xdr:colOff>
      <xdr:row>0</xdr:row>
      <xdr:rowOff>207066</xdr:rowOff>
    </xdr:from>
    <xdr:to>
      <xdr:col>4</xdr:col>
      <xdr:colOff>12008</xdr:colOff>
      <xdr:row>0</xdr:row>
      <xdr:rowOff>770283</xdr:rowOff>
    </xdr:to>
    <xdr:pic>
      <xdr:nvPicPr>
        <xdr:cNvPr id="6" name="Picture 5">
          <a:extLst>
            <a:ext uri="{FF2B5EF4-FFF2-40B4-BE49-F238E27FC236}">
              <a16:creationId xmlns:a16="http://schemas.microsoft.com/office/drawing/2014/main" id="{2858B612-F94E-9208-599D-8C299991275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543" y="207066"/>
          <a:ext cx="2654161" cy="563217"/>
        </a:xfrm>
        <a:prstGeom prst="rect">
          <a:avLst/>
        </a:prstGeom>
      </xdr:spPr>
    </xdr:pic>
    <xdr:clientData/>
  </xdr:twoCellAnchor>
  <xdr:twoCellAnchor editAs="oneCell">
    <xdr:from>
      <xdr:col>9</xdr:col>
      <xdr:colOff>115957</xdr:colOff>
      <xdr:row>66</xdr:row>
      <xdr:rowOff>36006</xdr:rowOff>
    </xdr:from>
    <xdr:to>
      <xdr:col>10</xdr:col>
      <xdr:colOff>513007</xdr:colOff>
      <xdr:row>67</xdr:row>
      <xdr:rowOff>163998</xdr:rowOff>
    </xdr:to>
    <xdr:pic>
      <xdr:nvPicPr>
        <xdr:cNvPr id="8" name="Picture 7">
          <a:extLst>
            <a:ext uri="{FF2B5EF4-FFF2-40B4-BE49-F238E27FC236}">
              <a16:creationId xmlns:a16="http://schemas.microsoft.com/office/drawing/2014/main" id="{23D0D09D-E995-6BB5-4C1A-4553169BBE2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94174" y="13321310"/>
          <a:ext cx="1241876" cy="31021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Sheaffer, Andrew" id="{BB00D289-804D-43B5-8829-22C9237800EC}" userId="andrew.sheaffer@aptim.com" providerId="PeoplePicker"/>
  <person displayName="Kurtz, Spencer" id="{C8F58F35-580F-4C3E-B109-0D14244DA294}" userId="S::spencer.kurtz@aptim.com::fe2f2be9-1164-485f-94b6-80f4257875eb"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S5" dT="2023-06-29T19:36:56.89" personId="{C8F58F35-580F-4C3E-B109-0D14244DA294}" id="{FAB948D9-8175-46F8-AD08-F73CFF294016}">
    <text>SEER2</text>
  </threadedComment>
  <threadedComment ref="S10" dT="2023-06-29T19:40:23.46" personId="{C8F58F35-580F-4C3E-B109-0D14244DA294}" id="{90450256-A87A-4EC6-AA3E-7B80B2DF0FE9}">
    <text>SEER2</text>
  </threadedComment>
  <threadedComment ref="T10" dT="2023-07-01T04:57:16.91" personId="{C8F58F35-580F-4C3E-B109-0D14244DA294}" id="{73424411-2EFD-413E-8B5C-49E9DC410988}">
    <text>HSPF2</text>
  </threadedComment>
  <threadedComment ref="W10" dT="2023-07-01T05:21:58.57" personId="{C8F58F35-580F-4C3E-B109-0D14244DA294}" id="{2FA4A86F-F96B-4BEA-AFEA-00012D8E17D8}">
    <text>HSPF2</text>
  </threadedComment>
  <threadedComment ref="B12" dT="2023-06-25T04:37:15.17" personId="{C8F58F35-580F-4C3E-B109-0D14244DA294}" id="{98F4482D-EF33-486E-AAF3-BE84B23E799B}">
    <text>@Sheaffer, Andrew Will likely need to create new NC HVAC measures with updated min. efficiency values</text>
    <mentions>
      <mention mentionpersonId="{BB00D289-804D-43B5-8829-22C9237800EC}" mentionId="{FEB44C59-636E-4BF2-BFB2-E2D748F87294}" startIndex="0" length="17"/>
    </mentions>
  </threadedComment>
  <threadedComment ref="B12" dT="2023-07-01T05:23:48.16" personId="{C8F58F35-580F-4C3E-B109-0D14244DA294}" id="{A80CBD18-314F-4160-90C9-3C96AB7B38B2}" parentId="{98F4482D-EF33-486E-AAF3-BE84B23E799B}">
    <text>Using/updating existing APTracks measures</text>
  </threadedComment>
  <threadedComment ref="J140" dT="2023-06-25T03:59:01.27" personId="{C8F58F35-580F-4C3E-B109-0D14244DA294}" id="{FE3BEFBC-8928-43A4-8E84-83893D455952}">
    <text>@Sheaffer, Andrew This table of AOH and CF values comes directly from the Arkansas TRM, so I don't believe it needs to be updated</text>
    <mentions>
      <mention mentionpersonId="{BB00D289-804D-43B5-8829-22C9237800EC}" mentionId="{36E64534-934D-49AF-A7AA-351E3BCD3C24}" startIndex="0" length="17"/>
    </mentions>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1.bin"/><Relationship Id="rId4" Type="http://schemas.microsoft.com/office/2017/10/relationships/threadedComment" Target="../threadedComments/threadedComment1.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nema.org/Policy/Energy/Efficiency/Documents/nema_premium_electronic_ballast_program.pdf" TargetMode="External"/><Relationship Id="rId2" Type="http://schemas.openxmlformats.org/officeDocument/2006/relationships/hyperlink" Target="https://library.cee1.org/content/commercial-lighting-qualifying-products-lists" TargetMode="External"/><Relationship Id="rId1" Type="http://schemas.openxmlformats.org/officeDocument/2006/relationships/hyperlink" Target="https://library.cee1.org/content/commercial-lighting-qualifying-products-lists" TargetMode="External"/><Relationship Id="rId6" Type="http://schemas.openxmlformats.org/officeDocument/2006/relationships/printerSettings" Target="../printerSettings/printerSettings2.bin"/><Relationship Id="rId5" Type="http://schemas.openxmlformats.org/officeDocument/2006/relationships/hyperlink" Target="http://www.designlights.org/search/" TargetMode="External"/><Relationship Id="rId4" Type="http://schemas.openxmlformats.org/officeDocument/2006/relationships/hyperlink" Target="http://www.energystar.gov/products/commercial_food_service_equipment" TargetMode="Externa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84A595-5C91-473A-ABA1-336EF5E839A1}">
  <sheetPr>
    <tabColor rgb="FFED1653"/>
    <pageSetUpPr fitToPage="1"/>
  </sheetPr>
  <dimension ref="A1:Z59"/>
  <sheetViews>
    <sheetView showGridLines="0" showRowColHeaders="0" tabSelected="1" zoomScaleNormal="100" workbookViewId="0">
      <selection activeCell="C8" sqref="C8"/>
    </sheetView>
  </sheetViews>
  <sheetFormatPr defaultColWidth="9.140625" defaultRowHeight="12.75" x14ac:dyDescent="0.2"/>
  <cols>
    <col min="1" max="1" width="2.7109375" style="1" customWidth="1"/>
    <col min="2" max="3" width="38.7109375" style="1" customWidth="1"/>
    <col min="4" max="4" width="2.7109375" style="1" customWidth="1"/>
    <col min="5" max="6" width="38.7109375" style="1" customWidth="1"/>
    <col min="7" max="7" width="2.7109375" style="1" customWidth="1"/>
    <col min="8" max="8" width="4.85546875" style="1" customWidth="1"/>
    <col min="9" max="9" width="28.140625" style="1" customWidth="1"/>
    <col min="10" max="10" width="32.28515625" style="1" customWidth="1"/>
    <col min="11" max="11" width="16" style="1" customWidth="1"/>
    <col min="12" max="14" width="9.140625" style="1"/>
    <col min="15" max="15" width="33.42578125" style="1" bestFit="1" customWidth="1"/>
    <col min="16" max="16" width="11.28515625" style="1" bestFit="1" customWidth="1"/>
    <col min="17" max="17" width="13.140625" style="1" bestFit="1" customWidth="1"/>
    <col min="18" max="18" width="23.5703125" style="1" bestFit="1" customWidth="1"/>
    <col min="19" max="19" width="34.42578125" style="1" bestFit="1" customWidth="1"/>
    <col min="20" max="20" width="22" style="1" bestFit="1" customWidth="1"/>
    <col min="21" max="21" width="12.140625" style="1" bestFit="1" customWidth="1"/>
    <col min="22" max="16384" width="9.140625" style="1"/>
  </cols>
  <sheetData>
    <row r="1" spans="2:26" ht="8.25" customHeight="1" x14ac:dyDescent="0.2">
      <c r="B1" s="110"/>
      <c r="C1" s="110"/>
      <c r="D1" s="110"/>
      <c r="E1" s="110"/>
      <c r="F1" s="110"/>
      <c r="G1" s="110"/>
      <c r="H1" s="110"/>
      <c r="I1" s="110"/>
      <c r="J1" s="110"/>
    </row>
    <row r="2" spans="2:26" s="108" customFormat="1" ht="44.25" customHeight="1" x14ac:dyDescent="0.2">
      <c r="B2" s="109"/>
      <c r="C2" s="109"/>
      <c r="D2" s="109"/>
      <c r="E2" s="109"/>
      <c r="F2" s="109"/>
      <c r="G2" s="109"/>
      <c r="H2" s="109"/>
      <c r="I2" s="109"/>
      <c r="J2" s="109"/>
    </row>
    <row r="4" spans="2:26" ht="46.5" customHeight="1" x14ac:dyDescent="0.35">
      <c r="B4" s="380" t="s">
        <v>840</v>
      </c>
      <c r="C4" s="381"/>
    </row>
    <row r="5" spans="2:26" ht="27.75" customHeight="1" x14ac:dyDescent="0.2">
      <c r="B5" s="378" t="s">
        <v>641</v>
      </c>
      <c r="C5" s="379"/>
    </row>
    <row r="6" spans="2:26" ht="15.75" customHeight="1" x14ac:dyDescent="0.2"/>
    <row r="7" spans="2:26" ht="38.25" customHeight="1" x14ac:dyDescent="0.2">
      <c r="B7" s="111" t="s">
        <v>656</v>
      </c>
      <c r="C7" s="111"/>
      <c r="E7" s="111" t="s">
        <v>671</v>
      </c>
      <c r="F7" s="111"/>
      <c r="I7" s="111" t="s">
        <v>0</v>
      </c>
      <c r="J7" s="111"/>
    </row>
    <row r="8" spans="2:26" ht="25.5" x14ac:dyDescent="0.2">
      <c r="B8" s="112" t="s">
        <v>657</v>
      </c>
      <c r="C8" s="119"/>
      <c r="E8" s="114" t="s">
        <v>667</v>
      </c>
      <c r="F8" s="368"/>
      <c r="I8" s="351" t="s">
        <v>2</v>
      </c>
      <c r="J8" s="92"/>
    </row>
    <row r="9" spans="2:26" ht="25.5" x14ac:dyDescent="0.2">
      <c r="B9" s="112" t="s">
        <v>658</v>
      </c>
      <c r="C9" s="119"/>
      <c r="E9" s="114" t="s">
        <v>668</v>
      </c>
      <c r="F9" s="368"/>
      <c r="I9" s="87" t="s">
        <v>3</v>
      </c>
      <c r="J9" s="88"/>
    </row>
    <row r="10" spans="2:26" ht="30" customHeight="1" x14ac:dyDescent="0.2">
      <c r="B10" s="112" t="s">
        <v>557</v>
      </c>
      <c r="C10" s="119"/>
      <c r="E10" s="114" t="s">
        <v>669</v>
      </c>
      <c r="F10" s="369"/>
      <c r="I10" s="89" t="s">
        <v>4</v>
      </c>
      <c r="J10" s="89"/>
    </row>
    <row r="11" spans="2:26" ht="30" customHeight="1" x14ac:dyDescent="0.2">
      <c r="B11" s="112" t="s">
        <v>558</v>
      </c>
      <c r="C11" s="119"/>
      <c r="E11" s="114" t="s">
        <v>670</v>
      </c>
      <c r="F11" s="369"/>
      <c r="I11" s="90" t="s">
        <v>5</v>
      </c>
      <c r="J11" s="91"/>
      <c r="Z11" s="1" t="s">
        <v>570</v>
      </c>
    </row>
    <row r="12" spans="2:26" ht="30" customHeight="1" x14ac:dyDescent="0.2">
      <c r="B12" s="113" t="s">
        <v>659</v>
      </c>
      <c r="C12" s="120"/>
      <c r="I12" s="87" t="s">
        <v>6</v>
      </c>
      <c r="J12" s="92"/>
    </row>
    <row r="13" spans="2:26" ht="30" customHeight="1" x14ac:dyDescent="0.2">
      <c r="B13" s="101"/>
      <c r="C13" s="102"/>
      <c r="E13" s="111" t="s">
        <v>672</v>
      </c>
      <c r="F13" s="111"/>
      <c r="I13" s="377" t="s">
        <v>7</v>
      </c>
      <c r="J13" s="89" t="s">
        <v>838</v>
      </c>
    </row>
    <row r="14" spans="2:26" ht="30" customHeight="1" x14ac:dyDescent="0.2">
      <c r="B14" s="111" t="s">
        <v>773</v>
      </c>
      <c r="C14" s="111"/>
      <c r="E14" s="114" t="s">
        <v>673</v>
      </c>
      <c r="F14" s="368"/>
      <c r="I14" s="123" t="s">
        <v>8</v>
      </c>
      <c r="J14" s="89" t="s">
        <v>9</v>
      </c>
    </row>
    <row r="15" spans="2:26" ht="30" customHeight="1" x14ac:dyDescent="0.2">
      <c r="B15" s="114" t="s">
        <v>660</v>
      </c>
      <c r="C15" s="368"/>
      <c r="E15" s="114" t="s">
        <v>674</v>
      </c>
      <c r="F15" s="368"/>
      <c r="I15" s="382" t="s">
        <v>642</v>
      </c>
      <c r="J15" s="382"/>
    </row>
    <row r="16" spans="2:26" ht="30" customHeight="1" x14ac:dyDescent="0.2">
      <c r="B16" s="114" t="s">
        <v>661</v>
      </c>
      <c r="C16" s="368"/>
      <c r="E16" s="116" t="s">
        <v>675</v>
      </c>
      <c r="F16" s="119"/>
      <c r="I16" s="112" t="s">
        <v>15</v>
      </c>
      <c r="J16" s="124" t="str">
        <f>'Change Log'!B11</f>
        <v>New Construction 2025 - v4.0</v>
      </c>
    </row>
    <row r="17" spans="1:6" ht="30" customHeight="1" x14ac:dyDescent="0.2">
      <c r="B17" s="114" t="s">
        <v>662</v>
      </c>
      <c r="C17" s="371"/>
      <c r="E17" s="114" t="s">
        <v>676</v>
      </c>
      <c r="F17" s="368"/>
    </row>
    <row r="18" spans="1:6" ht="30" customHeight="1" x14ac:dyDescent="0.2">
      <c r="E18" s="114" t="s">
        <v>677</v>
      </c>
      <c r="F18" s="370"/>
    </row>
    <row r="19" spans="1:6" ht="30" customHeight="1" x14ac:dyDescent="0.2">
      <c r="B19" s="111" t="s">
        <v>774</v>
      </c>
      <c r="C19" s="111"/>
      <c r="E19" s="114" t="s">
        <v>583</v>
      </c>
      <c r="F19" s="368"/>
    </row>
    <row r="20" spans="1:6" ht="30" customHeight="1" x14ac:dyDescent="0.2">
      <c r="B20" s="112" t="s">
        <v>778</v>
      </c>
      <c r="C20" s="119"/>
      <c r="E20" s="116" t="s">
        <v>678</v>
      </c>
      <c r="F20" s="119"/>
    </row>
    <row r="21" spans="1:6" ht="30" customHeight="1" x14ac:dyDescent="0.2">
      <c r="B21" s="112" t="s">
        <v>779</v>
      </c>
      <c r="C21" s="119"/>
    </row>
    <row r="22" spans="1:6" ht="30" customHeight="1" x14ac:dyDescent="0.2">
      <c r="B22" s="112" t="s">
        <v>661</v>
      </c>
      <c r="C22" s="119"/>
      <c r="E22" s="112" t="s">
        <v>679</v>
      </c>
      <c r="F22" s="119"/>
    </row>
    <row r="23" spans="1:6" ht="30" customHeight="1" x14ac:dyDescent="0.2">
      <c r="B23" s="112" t="s">
        <v>662</v>
      </c>
      <c r="C23" s="371"/>
      <c r="E23" s="112" t="s">
        <v>680</v>
      </c>
      <c r="F23" s="119"/>
    </row>
    <row r="24" spans="1:6" ht="30" customHeight="1" x14ac:dyDescent="0.2">
      <c r="B24" s="112" t="s">
        <v>657</v>
      </c>
      <c r="C24" s="121"/>
    </row>
    <row r="25" spans="1:6" ht="30" customHeight="1" x14ac:dyDescent="0.2">
      <c r="A25" s="84"/>
      <c r="B25" s="112" t="s">
        <v>658</v>
      </c>
      <c r="C25" s="122"/>
      <c r="D25" s="84"/>
      <c r="E25" s="111" t="s">
        <v>777</v>
      </c>
      <c r="F25" s="111"/>
    </row>
    <row r="26" spans="1:6" ht="30" customHeight="1" x14ac:dyDescent="0.2">
      <c r="B26" s="114" t="s">
        <v>557</v>
      </c>
      <c r="C26" s="368"/>
      <c r="E26" s="114" t="s">
        <v>681</v>
      </c>
      <c r="F26" s="368"/>
    </row>
    <row r="27" spans="1:6" ht="30" customHeight="1" x14ac:dyDescent="0.2">
      <c r="B27" s="114" t="s">
        <v>558</v>
      </c>
      <c r="C27" s="368"/>
      <c r="E27" s="114" t="s">
        <v>682</v>
      </c>
      <c r="F27" s="368"/>
    </row>
    <row r="28" spans="1:6" ht="30" customHeight="1" x14ac:dyDescent="0.2">
      <c r="B28" s="114" t="s">
        <v>659</v>
      </c>
      <c r="C28" s="368"/>
      <c r="E28" s="114" t="s">
        <v>683</v>
      </c>
      <c r="F28" s="368"/>
    </row>
    <row r="29" spans="1:6" ht="30" customHeight="1" x14ac:dyDescent="0.2">
      <c r="E29" s="114" t="s">
        <v>684</v>
      </c>
      <c r="F29" s="368"/>
    </row>
    <row r="30" spans="1:6" ht="30" customHeight="1" x14ac:dyDescent="0.2">
      <c r="B30" s="111" t="s">
        <v>775</v>
      </c>
      <c r="C30" s="111"/>
      <c r="E30" s="114" t="s">
        <v>557</v>
      </c>
      <c r="F30" s="368"/>
    </row>
    <row r="31" spans="1:6" ht="30" customHeight="1" x14ac:dyDescent="0.2">
      <c r="B31" s="85" t="s">
        <v>663</v>
      </c>
      <c r="C31" s="368"/>
      <c r="E31" s="114" t="s">
        <v>558</v>
      </c>
      <c r="F31" s="368"/>
    </row>
    <row r="32" spans="1:6" ht="30" customHeight="1" x14ac:dyDescent="0.2">
      <c r="B32" s="85" t="s">
        <v>661</v>
      </c>
      <c r="C32" s="368"/>
      <c r="E32" s="114" t="s">
        <v>559</v>
      </c>
      <c r="F32" s="368"/>
    </row>
    <row r="33" spans="2:6" ht="30" customHeight="1" x14ac:dyDescent="0.2">
      <c r="B33" s="85" t="s">
        <v>662</v>
      </c>
      <c r="C33" s="371"/>
    </row>
    <row r="34" spans="2:6" ht="30" customHeight="1" x14ac:dyDescent="0.2">
      <c r="B34" s="2"/>
      <c r="C34" s="2"/>
      <c r="E34" s="111" t="s">
        <v>568</v>
      </c>
      <c r="F34" s="111"/>
    </row>
    <row r="35" spans="2:6" s="2" customFormat="1" ht="30" customHeight="1" x14ac:dyDescent="0.25">
      <c r="B35" s="111" t="s">
        <v>776</v>
      </c>
      <c r="C35" s="111"/>
      <c r="E35" s="114" t="s">
        <v>569</v>
      </c>
      <c r="F35" s="372"/>
    </row>
    <row r="36" spans="2:6" s="2" customFormat="1" ht="30" customHeight="1" x14ac:dyDescent="0.25">
      <c r="B36" s="115" t="s">
        <v>664</v>
      </c>
      <c r="C36" s="373"/>
      <c r="E36" s="85" t="s">
        <v>615</v>
      </c>
      <c r="F36" s="21"/>
    </row>
    <row r="37" spans="2:6" ht="30" customHeight="1" x14ac:dyDescent="0.2">
      <c r="B37" s="85" t="s">
        <v>567</v>
      </c>
      <c r="C37" s="21"/>
      <c r="E37" s="117" t="s">
        <v>621</v>
      </c>
      <c r="F37" s="368"/>
    </row>
    <row r="38" spans="2:6" ht="30" customHeight="1" x14ac:dyDescent="0.2">
      <c r="B38" s="114" t="s">
        <v>665</v>
      </c>
      <c r="C38" s="374"/>
      <c r="E38" s="2"/>
      <c r="F38" s="2"/>
    </row>
    <row r="39" spans="2:6" ht="30" customHeight="1" x14ac:dyDescent="0.2">
      <c r="B39" s="114" t="s">
        <v>658</v>
      </c>
      <c r="C39" s="374"/>
      <c r="D39" s="2"/>
      <c r="E39" s="111" t="s">
        <v>685</v>
      </c>
      <c r="F39" s="111"/>
    </row>
    <row r="40" spans="2:6" ht="30" customHeight="1" x14ac:dyDescent="0.2">
      <c r="B40" s="114" t="s">
        <v>557</v>
      </c>
      <c r="C40" s="374"/>
      <c r="D40" s="2"/>
      <c r="E40" s="118" t="s">
        <v>649</v>
      </c>
      <c r="F40" s="373"/>
    </row>
    <row r="41" spans="2:6" ht="30" customHeight="1" x14ac:dyDescent="0.2">
      <c r="B41" s="114" t="s">
        <v>558</v>
      </c>
      <c r="C41" s="374"/>
      <c r="D41" s="2"/>
      <c r="E41" s="118" t="s">
        <v>650</v>
      </c>
      <c r="F41" s="374"/>
    </row>
    <row r="42" spans="2:6" ht="30" customHeight="1" x14ac:dyDescent="0.2">
      <c r="B42" s="114" t="s">
        <v>659</v>
      </c>
      <c r="C42" s="374"/>
      <c r="D42" s="2"/>
      <c r="E42" s="118" t="s">
        <v>614</v>
      </c>
      <c r="F42" s="374"/>
    </row>
    <row r="43" spans="2:6" ht="30" customHeight="1" x14ac:dyDescent="0.2">
      <c r="B43" s="114" t="s">
        <v>666</v>
      </c>
      <c r="C43" s="374"/>
      <c r="D43" s="2"/>
      <c r="E43" s="118" t="s">
        <v>647</v>
      </c>
      <c r="F43" s="374"/>
    </row>
    <row r="44" spans="2:6" ht="30" customHeight="1" x14ac:dyDescent="0.2">
      <c r="E44" s="118" t="s">
        <v>686</v>
      </c>
      <c r="F44" s="374"/>
    </row>
    <row r="45" spans="2:6" ht="51" x14ac:dyDescent="0.2">
      <c r="E45" s="118" t="s">
        <v>648</v>
      </c>
      <c r="F45" s="374"/>
    </row>
    <row r="46" spans="2:6" ht="16.5" customHeight="1" x14ac:dyDescent="0.2"/>
    <row r="47" spans="2:6" ht="12.75" customHeight="1" x14ac:dyDescent="0.2"/>
    <row r="48" spans="2:6" ht="30.75" customHeight="1" x14ac:dyDescent="0.2">
      <c r="B48" s="383" t="s">
        <v>839</v>
      </c>
      <c r="C48" s="383"/>
      <c r="D48" s="383"/>
      <c r="E48" s="383"/>
    </row>
    <row r="49" ht="31.5" customHeight="1" x14ac:dyDescent="0.2"/>
    <row r="50" ht="33.75" customHeight="1" x14ac:dyDescent="0.2"/>
    <row r="51" ht="28.5" customHeight="1" x14ac:dyDescent="0.2"/>
    <row r="52" ht="26.25" customHeight="1" x14ac:dyDescent="0.2"/>
    <row r="53" ht="32.25" customHeight="1" x14ac:dyDescent="0.2"/>
    <row r="54" ht="36.75" customHeight="1" x14ac:dyDescent="0.2"/>
    <row r="55" ht="47.25" customHeight="1" x14ac:dyDescent="0.2"/>
    <row r="56" ht="28.5" customHeight="1" x14ac:dyDescent="0.2"/>
    <row r="57" ht="28.5" customHeight="1" x14ac:dyDescent="0.2"/>
    <row r="58" ht="28.5" customHeight="1" x14ac:dyDescent="0.2"/>
    <row r="59" ht="28.5" customHeight="1" x14ac:dyDescent="0.2"/>
  </sheetData>
  <sheetProtection algorithmName="SHA-512" hashValue="dguJNkMSgEHzwAJqfOaxtBWgWiPh43onR7VUWkVT7M3Ve3sn9ZcT9Sw2I92oli8HUtAgvAIzu+xUn7q5OoO9Nw==" saltValue="m4Fb3fYtBK3ze580NvQ/ig==" spinCount="100000" sheet="1" selectLockedCells="1"/>
  <mergeCells count="4">
    <mergeCell ref="B5:C5"/>
    <mergeCell ref="B4:C4"/>
    <mergeCell ref="I15:J15"/>
    <mergeCell ref="B48:E48"/>
  </mergeCells>
  <conditionalFormatting sqref="B37:C37">
    <cfRule type="expression" dxfId="6" priority="1">
      <formula>$C$36&lt;&gt;"Other:"</formula>
    </cfRule>
  </conditionalFormatting>
  <conditionalFormatting sqref="E36:F36">
    <cfRule type="expression" dxfId="5" priority="2">
      <formula>$F$35&lt;&gt;"Other:"</formula>
    </cfRule>
  </conditionalFormatting>
  <dataValidations count="4">
    <dataValidation type="list" allowBlank="1" showInputMessage="1" showErrorMessage="1" sqref="F16" xr:uid="{D53489D0-9516-4A57-BF10-8D4C84BA584D}">
      <formula1>List_LtgIEF</formula1>
    </dataValidation>
    <dataValidation type="list" allowBlank="1" showInputMessage="1" showErrorMessage="1" sqref="F20" xr:uid="{E0BA1284-E4EE-4E32-BC57-967FAC81DB23}">
      <formula1>List_BuildingTypes</formula1>
    </dataValidation>
    <dataValidation type="list" allowBlank="1" showInputMessage="1" showErrorMessage="1" sqref="F23" xr:uid="{9FC8E876-FE97-46AE-9FC2-BD415DC191C5}">
      <formula1>List_ProgramType</formula1>
    </dataValidation>
    <dataValidation type="list" allowBlank="1" showInputMessage="1" showErrorMessage="1" sqref="F22" xr:uid="{2F75AAE1-0AEB-45C1-82FC-A8352395391A}">
      <formula1>List_CurrentPhase</formula1>
    </dataValidation>
  </dataValidations>
  <pageMargins left="0.7" right="0.7" top="0.75" bottom="0.75" header="0.3" footer="0.3"/>
  <pageSetup scale="39" orientation="landscape" verticalDpi="1200" r:id="rId1"/>
  <colBreaks count="1" manualBreakCount="1">
    <brk id="4" max="1048575" man="1"/>
  </colBreaks>
  <drawing r:id="rId2"/>
  <extLst>
    <ext xmlns:x14="http://schemas.microsoft.com/office/spreadsheetml/2009/9/main" uri="{CCE6A557-97BC-4b89-ADB6-D9C93CAAB3DF}">
      <x14:dataValidations xmlns:xm="http://schemas.microsoft.com/office/excel/2006/main" count="9">
        <x14:dataValidation type="list" allowBlank="1" showInputMessage="1" showErrorMessage="1" xr:uid="{5F403D0B-E2C4-4758-84B1-E83F40706173}">
          <x14:formula1>
            <xm:f>Lookups!$G$52:$G$58</xm:f>
          </x14:formula1>
          <xm:sqref>F17</xm:sqref>
        </x14:dataValidation>
        <x14:dataValidation type="list" allowBlank="1" showInputMessage="1" showErrorMessage="1" xr:uid="{D250ED9D-B236-4054-9851-3FAB241B93F8}">
          <x14:formula1>
            <xm:f>Lookups!$H$52:$H$53</xm:f>
          </x14:formula1>
          <xm:sqref>F19</xm:sqref>
        </x14:dataValidation>
        <x14:dataValidation type="list" allowBlank="1" showInputMessage="1" showErrorMessage="1" xr:uid="{FCB6436C-0027-4F13-807E-7AD71F8E2732}">
          <x14:formula1>
            <xm:f>Lookups!$E$52:$E$69</xm:f>
          </x14:formula1>
          <xm:sqref>F15</xm:sqref>
        </x14:dataValidation>
        <x14:dataValidation type="list" allowBlank="1" showInputMessage="1" showErrorMessage="1" xr:uid="{B87E222D-4374-4A32-BA99-7FBAA8E24A3B}">
          <x14:formula1>
            <xm:f>Lookups!$D$52:$D$54</xm:f>
          </x14:formula1>
          <xm:sqref>F14</xm:sqref>
        </x14:dataValidation>
        <x14:dataValidation type="list" allowBlank="1" showInputMessage="1" showErrorMessage="1" xr:uid="{0EC03DEC-4BA7-40A7-8F0A-B742A9BB4A28}">
          <x14:formula1>
            <xm:f>Lookups!$B$51:$B$55</xm:f>
          </x14:formula1>
          <xm:sqref>C36</xm:sqref>
        </x14:dataValidation>
        <x14:dataValidation type="list" allowBlank="1" showInputMessage="1" showErrorMessage="1" xr:uid="{B6D84476-26E3-4078-AC95-F9814DD86018}">
          <x14:formula1>
            <xm:f>Lookups!$B$56:$B$58</xm:f>
          </x14:formula1>
          <xm:sqref>C38</xm:sqref>
        </x14:dataValidation>
        <x14:dataValidation type="list" allowBlank="1" showInputMessage="1" showErrorMessage="1" xr:uid="{4BCD7ADD-733C-42E5-AB4D-B79D8AE34BA1}">
          <x14:formula1>
            <xm:f>Lookups!$C$51:$C$53</xm:f>
          </x14:formula1>
          <xm:sqref>F35</xm:sqref>
        </x14:dataValidation>
        <x14:dataValidation type="list" allowBlank="1" showInputMessage="1" showErrorMessage="1" xr:uid="{4AECAE48-96C0-4C76-A4C4-57B9C9AA49EC}">
          <x14:formula1>
            <xm:f>Lookups!$B$60:$B$69</xm:f>
          </x14:formula1>
          <xm:sqref>F37</xm:sqref>
        </x14:dataValidation>
        <x14:dataValidation type="list" allowBlank="1" showInputMessage="1" showErrorMessage="1" xr:uid="{E272DEA4-6E86-42C9-AA21-78FB43A21EDE}">
          <x14:formula1>
            <xm:f>Lookups!$B$71:$B$72</xm:f>
          </x14:formula1>
          <xm:sqref>C21 F28 F40:F45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CAC06-5455-4621-8E29-79A185780319}">
  <sheetPr>
    <tabColor theme="0" tint="-0.14999847407452621"/>
    <pageSetUpPr fitToPage="1"/>
  </sheetPr>
  <dimension ref="A1:L70"/>
  <sheetViews>
    <sheetView showGridLines="0" view="pageBreakPreview" topLeftCell="A16" zoomScale="115" zoomScaleNormal="100" zoomScaleSheetLayoutView="115" workbookViewId="0">
      <selection activeCell="J74" sqref="J74"/>
    </sheetView>
  </sheetViews>
  <sheetFormatPr defaultRowHeight="14.25" x14ac:dyDescent="0.2"/>
  <cols>
    <col min="1" max="3" width="12.7109375" style="6" customWidth="1"/>
    <col min="4" max="4" width="2.7109375" style="6" customWidth="1"/>
    <col min="5" max="7" width="12.7109375" style="6" customWidth="1"/>
    <col min="8" max="8" width="2.7109375" style="6" customWidth="1"/>
    <col min="9" max="11" width="12.7109375" style="6" customWidth="1"/>
    <col min="12" max="16384" width="9.140625" style="6"/>
  </cols>
  <sheetData>
    <row r="1" spans="1:11" ht="67.5" customHeight="1" x14ac:dyDescent="0.2"/>
    <row r="2" spans="1:11" ht="23.25" x14ac:dyDescent="0.35">
      <c r="A2" s="241" t="s">
        <v>655</v>
      </c>
      <c r="B2" s="242"/>
      <c r="C2" s="242"/>
    </row>
    <row r="3" spans="1:11" ht="45" customHeight="1" x14ac:dyDescent="0.2">
      <c r="A3" s="408" t="s">
        <v>643</v>
      </c>
      <c r="B3" s="408"/>
      <c r="C3" s="408"/>
      <c r="D3" s="408"/>
      <c r="E3" s="408"/>
    </row>
    <row r="4" spans="1:11" ht="15" thickBot="1" x14ac:dyDescent="0.25"/>
    <row r="5" spans="1:11" x14ac:dyDescent="0.2">
      <c r="A5" s="243" t="s">
        <v>741</v>
      </c>
      <c r="B5" s="244"/>
      <c r="C5" s="245"/>
      <c r="D5" s="246"/>
      <c r="E5" s="243" t="s">
        <v>726</v>
      </c>
      <c r="F5" s="244"/>
      <c r="G5" s="245"/>
      <c r="I5" s="243" t="s">
        <v>742</v>
      </c>
      <c r="J5" s="244"/>
      <c r="K5" s="245"/>
    </row>
    <row r="6" spans="1:11" x14ac:dyDescent="0.2">
      <c r="A6" s="247" t="s">
        <v>657</v>
      </c>
      <c r="B6" s="248"/>
      <c r="C6" s="249"/>
      <c r="E6" s="247" t="s">
        <v>751</v>
      </c>
      <c r="F6" s="248"/>
      <c r="G6" s="249"/>
      <c r="I6" s="247" t="s">
        <v>673</v>
      </c>
      <c r="J6" s="248"/>
      <c r="K6" s="249"/>
    </row>
    <row r="7" spans="1:11" x14ac:dyDescent="0.2">
      <c r="A7" s="250" t="str">
        <f>IF(ISTEXT('Fillable Application &amp; Instruct'!C8)=TRUE,'Fillable Application &amp; Instruct'!C8,"")</f>
        <v/>
      </c>
      <c r="B7" s="251"/>
      <c r="C7" s="252"/>
      <c r="E7" s="250" t="str">
        <f>IF(ISTEXT('Fillable Application &amp; Instruct'!C20)=TRUE,'Fillable Application &amp; Instruct'!C20,"")</f>
        <v/>
      </c>
      <c r="F7" s="251"/>
      <c r="G7" s="252"/>
      <c r="I7" s="250" t="str">
        <f>IF(ISTEXT('Fillable Application &amp; Instruct'!F14)=TRUE,'Fillable Application &amp; Instruct'!F14,"")</f>
        <v/>
      </c>
      <c r="J7" s="251"/>
      <c r="K7" s="252"/>
    </row>
    <row r="8" spans="1:11" x14ac:dyDescent="0.2">
      <c r="A8" s="247" t="s">
        <v>749</v>
      </c>
      <c r="B8" s="248"/>
      <c r="C8" s="249"/>
      <c r="E8" s="247" t="s">
        <v>661</v>
      </c>
      <c r="F8" s="248"/>
      <c r="G8" s="249"/>
      <c r="I8" s="247" t="s">
        <v>674</v>
      </c>
      <c r="J8" s="248"/>
      <c r="K8" s="249"/>
    </row>
    <row r="9" spans="1:11" x14ac:dyDescent="0.2">
      <c r="A9" s="250" t="str">
        <f>IF(ISTEXT('Fillable Application &amp; Instruct'!C9)=TRUE,'Fillable Application &amp; Instruct'!C9,"")</f>
        <v/>
      </c>
      <c r="B9" s="251"/>
      <c r="C9" s="252"/>
      <c r="E9" s="250" t="str">
        <f>IF(ISBLANK('Fillable Application &amp; Instruct'!C22)=TRUE,"",'Fillable Application &amp; Instruct'!C22)</f>
        <v/>
      </c>
      <c r="F9" s="251"/>
      <c r="G9" s="252"/>
      <c r="I9" s="250" t="str">
        <f>IF(ISTEXT('Fillable Application &amp; Instruct'!F15)=TRUE,'Fillable Application &amp; Instruct'!F15,"")</f>
        <v/>
      </c>
      <c r="J9" s="251"/>
      <c r="K9" s="252"/>
    </row>
    <row r="10" spans="1:11" x14ac:dyDescent="0.2">
      <c r="A10" s="247" t="s">
        <v>557</v>
      </c>
      <c r="B10" s="248"/>
      <c r="C10" s="249"/>
      <c r="E10" s="247" t="s">
        <v>662</v>
      </c>
      <c r="F10" s="248"/>
      <c r="G10" s="249"/>
      <c r="I10" s="247" t="s">
        <v>761</v>
      </c>
      <c r="J10" s="248"/>
      <c r="K10" s="249"/>
    </row>
    <row r="11" spans="1:11" x14ac:dyDescent="0.2">
      <c r="A11" s="250" t="str">
        <f>IF(ISTEXT('Fillable Application &amp; Instruct'!C10)=TRUE,'Fillable Application &amp; Instruct'!C10,"")</f>
        <v/>
      </c>
      <c r="B11" s="251"/>
      <c r="C11" s="252"/>
      <c r="E11" s="250" t="str">
        <f>IF(ISTEXT('Fillable Application &amp; Instruct'!C23)=TRUE,'Fillable Application &amp; Instruct'!C23,"")</f>
        <v/>
      </c>
      <c r="F11" s="251"/>
      <c r="G11" s="252"/>
      <c r="I11" s="250" t="str">
        <f>IF(ISTEXT(Input_HVACType)=TRUE,Input_HVACType,"")</f>
        <v/>
      </c>
      <c r="J11" s="251"/>
      <c r="K11" s="252"/>
    </row>
    <row r="12" spans="1:11" x14ac:dyDescent="0.2">
      <c r="A12" s="253" t="s">
        <v>558</v>
      </c>
      <c r="B12" s="254" t="s">
        <v>559</v>
      </c>
      <c r="C12" s="255"/>
      <c r="E12" s="247" t="s">
        <v>657</v>
      </c>
      <c r="F12" s="256"/>
      <c r="G12" s="257" t="s">
        <v>625</v>
      </c>
      <c r="I12" s="247" t="s">
        <v>676</v>
      </c>
      <c r="J12" s="248"/>
      <c r="K12" s="249"/>
    </row>
    <row r="13" spans="1:11" x14ac:dyDescent="0.2">
      <c r="A13" s="258" t="str">
        <f>IF(ISTEXT('Fillable Application &amp; Instruct'!C11)=TRUE,'Fillable Application &amp; Instruct'!C11,"")</f>
        <v/>
      </c>
      <c r="B13" s="259" t="str">
        <f>IF(ISBLANK('Fillable Application &amp; Instruct'!C12)=TRUE,"",'Fillable Application &amp; Instruct'!C12)</f>
        <v/>
      </c>
      <c r="C13" s="260"/>
      <c r="E13" s="250" t="str">
        <f>IF(ISTEXT('Fillable Application &amp; Instruct'!C24)=TRUE,'Fillable Application &amp; Instruct'!C24,"")</f>
        <v/>
      </c>
      <c r="F13" s="261"/>
      <c r="G13" s="262" t="str">
        <f>IF(ISTEXT('Fillable Application &amp; Instruct'!C21)=TRUE,'Fillable Application &amp; Instruct'!C21,"")</f>
        <v/>
      </c>
      <c r="I13" s="250" t="str">
        <f>IF(ISTEXT('Fillable Application &amp; Instruct'!F17)=TRUE,'Fillable Application &amp; Instruct'!F17,"")</f>
        <v/>
      </c>
      <c r="J13" s="251"/>
      <c r="K13" s="252"/>
    </row>
    <row r="14" spans="1:11" x14ac:dyDescent="0.2">
      <c r="A14" s="247"/>
      <c r="B14" s="248"/>
      <c r="C14" s="249"/>
      <c r="E14" s="247" t="s">
        <v>626</v>
      </c>
      <c r="F14" s="248"/>
      <c r="G14" s="249"/>
      <c r="I14" s="247" t="s">
        <v>677</v>
      </c>
      <c r="J14" s="248"/>
      <c r="K14" s="249"/>
    </row>
    <row r="15" spans="1:11" x14ac:dyDescent="0.2">
      <c r="A15" s="250"/>
      <c r="B15" s="251"/>
      <c r="C15" s="252"/>
      <c r="E15" s="250" t="str">
        <f>IF(ISTEXT('Fillable Application &amp; Instruct'!C25)=TRUE,'Fillable Application &amp; Instruct'!C25,"")</f>
        <v/>
      </c>
      <c r="F15" s="251"/>
      <c r="G15" s="252"/>
      <c r="I15" s="263" t="str">
        <f>IF(ISNUMBER('Fillable Application &amp; Instruct'!F18)=TRUE,'Fillable Application &amp; Instruct'!F18,"")</f>
        <v/>
      </c>
      <c r="J15" s="251"/>
      <c r="K15" s="252"/>
    </row>
    <row r="16" spans="1:11" x14ac:dyDescent="0.2">
      <c r="A16" s="264" t="s">
        <v>743</v>
      </c>
      <c r="B16" s="265"/>
      <c r="C16" s="266"/>
      <c r="D16" s="246"/>
      <c r="E16" s="247" t="s">
        <v>557</v>
      </c>
      <c r="F16" s="248"/>
      <c r="G16" s="249"/>
      <c r="I16" s="247" t="s">
        <v>583</v>
      </c>
      <c r="J16" s="248"/>
      <c r="K16" s="249"/>
    </row>
    <row r="17" spans="1:12" x14ac:dyDescent="0.2">
      <c r="A17" s="247" t="s">
        <v>750</v>
      </c>
      <c r="B17" s="248"/>
      <c r="C17" s="249"/>
      <c r="E17" s="250" t="str">
        <f>IF(ISTEXT('Fillable Application &amp; Instruct'!C26)=TRUE,'Fillable Application &amp; Instruct'!C26,"")</f>
        <v/>
      </c>
      <c r="F17" s="251"/>
      <c r="G17" s="252"/>
      <c r="I17" s="250" t="str">
        <f>IF(ISTEXT('Fillable Application &amp; Instruct'!F19)=TRUE,'Fillable Application &amp; Instruct'!F19,"")</f>
        <v/>
      </c>
      <c r="J17" s="251"/>
      <c r="K17" s="252"/>
    </row>
    <row r="18" spans="1:12" x14ac:dyDescent="0.2">
      <c r="A18" s="250" t="str">
        <f>IF(ISTEXT('Fillable Application &amp; Instruct'!C15)=TRUE,'Fillable Application &amp; Instruct'!C15,"")</f>
        <v/>
      </c>
      <c r="B18" s="251"/>
      <c r="C18" s="252"/>
      <c r="E18" s="267" t="s">
        <v>558</v>
      </c>
      <c r="F18" s="254" t="s">
        <v>559</v>
      </c>
      <c r="G18" s="268"/>
      <c r="I18" s="264" t="s">
        <v>745</v>
      </c>
      <c r="J18" s="265"/>
      <c r="K18" s="266"/>
    </row>
    <row r="19" spans="1:12" x14ac:dyDescent="0.2">
      <c r="A19" s="247" t="s">
        <v>753</v>
      </c>
      <c r="B19" s="248"/>
      <c r="C19" s="249"/>
      <c r="E19" s="269" t="str">
        <f>IF(ISTEXT('Fillable Application &amp; Instruct'!C27)=TRUE,'Fillable Application &amp; Instruct'!C27,"")</f>
        <v/>
      </c>
      <c r="F19" s="270" t="str">
        <f>IF(ISBLANK('Fillable Application &amp; Instruct'!C28)=TRUE,"",'Fillable Application &amp; Instruct'!C28)</f>
        <v/>
      </c>
      <c r="G19" s="268"/>
      <c r="I19" s="247" t="s">
        <v>669</v>
      </c>
      <c r="J19" s="248"/>
      <c r="K19" s="249"/>
    </row>
    <row r="20" spans="1:12" x14ac:dyDescent="0.2">
      <c r="A20" s="250" t="str">
        <f>IF(ISBLANK('Fillable Application &amp; Instruct'!C16)=TRUE,"",'Fillable Application &amp; Instruct'!C16)</f>
        <v/>
      </c>
      <c r="B20" s="251"/>
      <c r="C20" s="252"/>
      <c r="E20" s="264" t="s">
        <v>744</v>
      </c>
      <c r="F20" s="265"/>
      <c r="G20" s="266"/>
      <c r="I20" s="271" t="str">
        <f>IF(ISBLANK('Fillable Application &amp; Instruct'!F10)=TRUE,"",'Fillable Application &amp; Instruct'!F10)</f>
        <v/>
      </c>
      <c r="J20" s="251"/>
      <c r="K20" s="252"/>
    </row>
    <row r="21" spans="1:12" x14ac:dyDescent="0.2">
      <c r="A21" s="247" t="s">
        <v>662</v>
      </c>
      <c r="B21" s="248"/>
      <c r="C21" s="249"/>
      <c r="E21" s="247" t="s">
        <v>752</v>
      </c>
      <c r="F21" s="248"/>
      <c r="G21" s="249"/>
      <c r="I21" s="247" t="s">
        <v>613</v>
      </c>
      <c r="J21" s="248"/>
      <c r="K21" s="249"/>
    </row>
    <row r="22" spans="1:12" x14ac:dyDescent="0.2">
      <c r="A22" s="250" t="str">
        <f>IF(ISTEXT('Fillable Application &amp; Instruct'!C17)=TRUE,'Fillable Application &amp; Instruct'!C17,"")</f>
        <v/>
      </c>
      <c r="B22" s="251"/>
      <c r="C22" s="252"/>
      <c r="E22" s="250" t="str">
        <f>IF(ISTEXT('Fillable Application &amp; Instruct'!C31)=TRUE,'Fillable Application &amp; Instruct'!C31,"")</f>
        <v/>
      </c>
      <c r="F22" s="251"/>
      <c r="G22" s="252"/>
      <c r="I22" s="271" t="str">
        <f>IF(ISBLANK('Fillable Application &amp; Instruct'!F11)=TRUE,"",'Fillable Application &amp; Instruct'!F11)</f>
        <v/>
      </c>
      <c r="J22" s="251"/>
      <c r="K22" s="252"/>
    </row>
    <row r="23" spans="1:12" x14ac:dyDescent="0.2">
      <c r="A23" s="264" t="s">
        <v>746</v>
      </c>
      <c r="B23" s="265"/>
      <c r="C23" s="266"/>
      <c r="D23" s="246"/>
      <c r="E23" s="247" t="s">
        <v>661</v>
      </c>
      <c r="F23" s="248"/>
      <c r="G23" s="249"/>
      <c r="I23" s="247" t="s">
        <v>760</v>
      </c>
      <c r="J23" s="248"/>
      <c r="K23" s="249"/>
    </row>
    <row r="24" spans="1:12" ht="15" customHeight="1" x14ac:dyDescent="0.2">
      <c r="A24" s="247" t="s">
        <v>681</v>
      </c>
      <c r="B24" s="248"/>
      <c r="C24" s="249"/>
      <c r="E24" s="250" t="str">
        <f>IF(ISBLANK('Fillable Application &amp; Instruct'!C32)=TRUE,"",'Fillable Application &amp; Instruct'!C32)</f>
        <v/>
      </c>
      <c r="F24" s="251"/>
      <c r="G24" s="252"/>
      <c r="I24" s="402" t="str">
        <f>IF(ISTEXT('Fillable Application &amp; Instruct'!F8)=TRUE,'Fillable Application &amp; Instruct'!F8,"")</f>
        <v/>
      </c>
      <c r="J24" s="403"/>
      <c r="K24" s="404"/>
    </row>
    <row r="25" spans="1:12" x14ac:dyDescent="0.2">
      <c r="A25" s="250" t="str">
        <f>IF(ISTEXT('Fillable Application &amp; Instruct'!F26)=TRUE,'Fillable Application &amp; Instruct'!F26,"")</f>
        <v/>
      </c>
      <c r="B25" s="251"/>
      <c r="C25" s="252"/>
      <c r="E25" s="247" t="s">
        <v>662</v>
      </c>
      <c r="F25" s="248"/>
      <c r="G25" s="249"/>
      <c r="I25" s="402"/>
      <c r="J25" s="403"/>
      <c r="K25" s="404"/>
    </row>
    <row r="26" spans="1:12" x14ac:dyDescent="0.2">
      <c r="A26" s="247" t="s">
        <v>755</v>
      </c>
      <c r="B26" s="248"/>
      <c r="C26" s="249"/>
      <c r="E26" s="250" t="str">
        <f>IF(ISTEXT('Fillable Application &amp; Instruct'!C33)=TRUE,'Fillable Application &amp; Instruct'!C33,"")</f>
        <v/>
      </c>
      <c r="F26" s="251"/>
      <c r="G26" s="252"/>
      <c r="I26" s="402"/>
      <c r="J26" s="403"/>
      <c r="K26" s="404"/>
    </row>
    <row r="27" spans="1:12" x14ac:dyDescent="0.2">
      <c r="A27" s="250" t="str">
        <f>IF(ISTEXT('Fillable Application &amp; Instruct'!F28)=TRUE,'Fillable Application &amp; Instruct'!F28,"")</f>
        <v/>
      </c>
      <c r="B27" s="251"/>
      <c r="C27" s="272" t="s">
        <v>627</v>
      </c>
      <c r="E27" s="264" t="s">
        <v>747</v>
      </c>
      <c r="F27" s="265"/>
      <c r="G27" s="266"/>
      <c r="I27" s="402"/>
      <c r="J27" s="403"/>
      <c r="K27" s="404"/>
      <c r="L27" s="273"/>
    </row>
    <row r="28" spans="1:12" x14ac:dyDescent="0.2">
      <c r="A28" s="247" t="s">
        <v>756</v>
      </c>
      <c r="B28" s="248"/>
      <c r="C28" s="249"/>
      <c r="E28" s="247" t="s">
        <v>754</v>
      </c>
      <c r="F28" s="248"/>
      <c r="G28" s="249"/>
      <c r="I28" s="402"/>
      <c r="J28" s="403"/>
      <c r="K28" s="404"/>
    </row>
    <row r="29" spans="1:12" x14ac:dyDescent="0.2">
      <c r="A29" s="250" t="str">
        <f>IF(ISBLANK('Fillable Application &amp; Instruct'!F27)=TRUE,"",'Fillable Application &amp; Instruct'!F27)</f>
        <v/>
      </c>
      <c r="B29" s="251"/>
      <c r="C29" s="252"/>
      <c r="E29" s="250" t="str">
        <f>IF(ISTEXT('Fillable Application &amp; Instruct'!C36)=TRUE,'Fillable Application &amp; Instruct'!C36,"")</f>
        <v/>
      </c>
      <c r="F29" s="251"/>
      <c r="G29" s="252"/>
      <c r="I29" s="402"/>
      <c r="J29" s="403"/>
      <c r="K29" s="404"/>
    </row>
    <row r="30" spans="1:12" x14ac:dyDescent="0.2">
      <c r="A30" s="247" t="s">
        <v>757</v>
      </c>
      <c r="B30" s="248"/>
      <c r="C30" s="249"/>
      <c r="E30" s="247" t="s">
        <v>665</v>
      </c>
      <c r="F30" s="248"/>
      <c r="G30" s="249"/>
      <c r="I30" s="405"/>
      <c r="J30" s="406"/>
      <c r="K30" s="407"/>
    </row>
    <row r="31" spans="1:12" x14ac:dyDescent="0.2">
      <c r="A31" s="250" t="str">
        <f>IF(ISTEXT('Fillable Application &amp; Instruct'!F29)=TRUE,'Fillable Application &amp; Instruct'!F29,"")</f>
        <v/>
      </c>
      <c r="B31" s="251"/>
      <c r="C31" s="252"/>
      <c r="E31" s="250" t="str">
        <f>IF(ISTEXT('Fillable Application &amp; Instruct'!C38)=TRUE,'Fillable Application &amp; Instruct'!C38,"")</f>
        <v/>
      </c>
      <c r="F31" s="251"/>
      <c r="G31" s="252"/>
      <c r="I31" s="264" t="s">
        <v>748</v>
      </c>
      <c r="J31" s="265"/>
      <c r="K31" s="266"/>
    </row>
    <row r="32" spans="1:12" x14ac:dyDescent="0.2">
      <c r="A32" s="247" t="s">
        <v>557</v>
      </c>
      <c r="B32" s="248"/>
      <c r="C32" s="249"/>
      <c r="E32" s="247" t="s">
        <v>666</v>
      </c>
      <c r="F32" s="248"/>
      <c r="G32" s="249"/>
      <c r="I32" s="247" t="s">
        <v>787</v>
      </c>
      <c r="J32" s="248"/>
      <c r="K32" s="249"/>
    </row>
    <row r="33" spans="1:11" x14ac:dyDescent="0.2">
      <c r="A33" s="250" t="str">
        <f>IF(ISTEXT('Fillable Application &amp; Instruct'!F30)=TRUE,'Fillable Application &amp; Instruct'!F30,"")</f>
        <v/>
      </c>
      <c r="B33" s="251"/>
      <c r="C33" s="252"/>
      <c r="E33" s="250" t="str">
        <f>IF(ISTEXT('Fillable Application &amp; Instruct'!C43)=TRUE,'Fillable Application &amp; Instruct'!C43,"")</f>
        <v/>
      </c>
      <c r="F33" s="251"/>
      <c r="G33" s="252"/>
      <c r="I33" s="250" t="str">
        <f>IF(ISTEXT('Fillable Application &amp; Instruct'!F40)=TRUE,'Fillable Application &amp; Instruct'!F40,"")</f>
        <v/>
      </c>
      <c r="J33" s="251"/>
      <c r="K33" s="252"/>
    </row>
    <row r="34" spans="1:11" x14ac:dyDescent="0.2">
      <c r="A34" s="253" t="s">
        <v>558</v>
      </c>
      <c r="B34" s="254" t="s">
        <v>559</v>
      </c>
      <c r="C34" s="255"/>
      <c r="E34" s="247" t="s">
        <v>626</v>
      </c>
      <c r="F34" s="248"/>
      <c r="G34" s="249"/>
      <c r="I34" s="247" t="s">
        <v>759</v>
      </c>
      <c r="J34" s="248"/>
      <c r="K34" s="249"/>
    </row>
    <row r="35" spans="1:11" x14ac:dyDescent="0.2">
      <c r="A35" s="258" t="str">
        <f>IF(ISTEXT('Fillable Application &amp; Instruct'!F31)=TRUE,'Fillable Application &amp; Instruct'!F31,"")</f>
        <v/>
      </c>
      <c r="B35" s="270" t="str">
        <f>IF(ISBLANK('Fillable Application &amp; Instruct'!F32)=TRUE,"",'Fillable Application &amp; Instruct'!F32)</f>
        <v/>
      </c>
      <c r="C35" s="260"/>
      <c r="E35" s="250" t="str">
        <f>IF(ISTEXT('Fillable Application &amp; Instruct'!C39)=TRUE,'Fillable Application &amp; Instruct'!C39,"")</f>
        <v/>
      </c>
      <c r="F35" s="251"/>
      <c r="G35" s="252"/>
      <c r="I35" s="250" t="str">
        <f>IF(ISTEXT('Fillable Application &amp; Instruct'!F41)=TRUE,'Fillable Application &amp; Instruct'!F41,"")</f>
        <v/>
      </c>
      <c r="J35" s="251"/>
      <c r="K35" s="252"/>
    </row>
    <row r="36" spans="1:11" x14ac:dyDescent="0.2">
      <c r="A36" s="247" t="s">
        <v>628</v>
      </c>
      <c r="B36" s="248"/>
      <c r="C36" s="249"/>
      <c r="E36" s="247" t="s">
        <v>557</v>
      </c>
      <c r="F36" s="248"/>
      <c r="G36" s="249"/>
      <c r="I36" s="247" t="s">
        <v>614</v>
      </c>
      <c r="J36" s="248"/>
      <c r="K36" s="249"/>
    </row>
    <row r="37" spans="1:11" x14ac:dyDescent="0.2">
      <c r="A37" s="250" t="str">
        <f>IF(ISTEXT('Fillable Application &amp; Instruct'!F37)=TRUE,'Fillable Application &amp; Instruct'!F37,"")</f>
        <v/>
      </c>
      <c r="B37" s="251"/>
      <c r="C37" s="252"/>
      <c r="E37" s="250" t="str">
        <f>IF(ISTEXT('Fillable Application &amp; Instruct'!C40)=TRUE,'Fillable Application &amp; Instruct'!C40,"")</f>
        <v/>
      </c>
      <c r="F37" s="251"/>
      <c r="G37" s="252"/>
      <c r="I37" s="250" t="str">
        <f>IF(ISTEXT('Fillable Application &amp; Instruct'!F42)=TRUE,'Fillable Application &amp; Instruct'!F42,"")</f>
        <v/>
      </c>
      <c r="J37" s="251"/>
      <c r="K37" s="252"/>
    </row>
    <row r="38" spans="1:11" x14ac:dyDescent="0.2">
      <c r="A38" s="247" t="s">
        <v>630</v>
      </c>
      <c r="B38" s="248"/>
      <c r="C38" s="249"/>
      <c r="E38" s="267" t="s">
        <v>558</v>
      </c>
      <c r="F38" s="254" t="s">
        <v>559</v>
      </c>
      <c r="G38" s="268"/>
      <c r="I38" s="247" t="s">
        <v>629</v>
      </c>
      <c r="J38" s="248"/>
      <c r="K38" s="249"/>
    </row>
    <row r="39" spans="1:11" ht="15" thickBot="1" x14ac:dyDescent="0.25">
      <c r="A39" s="274">
        <f>IF('Fillable Application &amp; Instruct'!F35="Other:", 'Fillable Application &amp; Instruct'!F36,'Fillable Application &amp; Instruct'!F35)</f>
        <v>0</v>
      </c>
      <c r="B39" s="275"/>
      <c r="C39" s="276"/>
      <c r="E39" s="277" t="str">
        <f>IF(ISTEXT('Fillable Application &amp; Instruct'!C41)=TRUE,'Fillable Application &amp; Instruct'!C41,"")</f>
        <v/>
      </c>
      <c r="F39" s="278" t="str">
        <f>IF(ISBLANK('Fillable Application &amp; Instruct'!C42)=TRUE,"",'Fillable Application &amp; Instruct'!C42)</f>
        <v/>
      </c>
      <c r="G39" s="279"/>
      <c r="I39" s="250" t="str">
        <f>IF(ISTEXT('Fillable Application &amp; Instruct'!F43)=TRUE,'Fillable Application &amp; Instruct'!F43,"")</f>
        <v/>
      </c>
      <c r="J39" s="251"/>
      <c r="K39" s="252"/>
    </row>
    <row r="40" spans="1:11" x14ac:dyDescent="0.2">
      <c r="I40" s="247" t="s">
        <v>686</v>
      </c>
      <c r="J40" s="248"/>
      <c r="K40" s="249"/>
    </row>
    <row r="41" spans="1:11" x14ac:dyDescent="0.2">
      <c r="I41" s="250" t="str">
        <f>IF(ISTEXT('Fillable Application &amp; Instruct'!F44)=TRUE,'Fillable Application &amp; Instruct'!F44,"")</f>
        <v/>
      </c>
      <c r="J41" s="251"/>
      <c r="K41" s="252"/>
    </row>
    <row r="42" spans="1:11" x14ac:dyDescent="0.2">
      <c r="I42" s="247" t="s">
        <v>758</v>
      </c>
      <c r="J42" s="248"/>
      <c r="K42" s="249"/>
    </row>
    <row r="43" spans="1:11" ht="15" thickBot="1" x14ac:dyDescent="0.25">
      <c r="I43" s="274" t="str">
        <f>IF(ISTEXT('Fillable Application &amp; Instruct'!F45)=TRUE,'Fillable Application &amp; Instruct'!F45,"")</f>
        <v/>
      </c>
      <c r="J43" s="275"/>
      <c r="K43" s="276"/>
    </row>
    <row r="44" spans="1:11" ht="15" thickBot="1" x14ac:dyDescent="0.25"/>
    <row r="45" spans="1:11" ht="15" x14ac:dyDescent="0.2">
      <c r="A45" s="280" t="s">
        <v>525</v>
      </c>
      <c r="B45" s="281"/>
      <c r="C45" s="281"/>
      <c r="D45" s="281"/>
      <c r="E45" s="281"/>
      <c r="F45" s="282"/>
      <c r="G45" s="282"/>
      <c r="H45" s="282"/>
      <c r="I45" s="282"/>
      <c r="J45" s="283"/>
      <c r="K45" s="284"/>
    </row>
    <row r="46" spans="1:11" ht="15" x14ac:dyDescent="0.2">
      <c r="A46" s="285"/>
      <c r="B46" s="286"/>
      <c r="C46" s="286"/>
      <c r="D46" s="286"/>
      <c r="E46" s="286"/>
      <c r="F46" s="273"/>
      <c r="G46" s="273"/>
      <c r="H46" s="273"/>
      <c r="I46" s="273"/>
      <c r="J46" s="273"/>
      <c r="K46" s="287"/>
    </row>
    <row r="47" spans="1:11" ht="15.75" thickBot="1" x14ac:dyDescent="0.25">
      <c r="A47" s="288" t="s">
        <v>762</v>
      </c>
      <c r="B47" s="289"/>
      <c r="C47" s="290"/>
      <c r="D47" s="291"/>
      <c r="E47" s="290"/>
      <c r="F47" s="292"/>
      <c r="G47" s="292"/>
      <c r="H47" s="292"/>
      <c r="I47" s="293" t="s">
        <v>636</v>
      </c>
      <c r="J47" s="292"/>
      <c r="K47" s="294"/>
    </row>
    <row r="68" spans="1:1" x14ac:dyDescent="0.2">
      <c r="A68" s="295" t="s">
        <v>644</v>
      </c>
    </row>
    <row r="69" spans="1:1" ht="9.75" customHeight="1" x14ac:dyDescent="0.2">
      <c r="A69" s="295" t="s">
        <v>645</v>
      </c>
    </row>
    <row r="70" spans="1:1" ht="10.5" customHeight="1" x14ac:dyDescent="0.2">
      <c r="A70" s="295" t="s">
        <v>646</v>
      </c>
    </row>
  </sheetData>
  <mergeCells count="2">
    <mergeCell ref="I24:K30"/>
    <mergeCell ref="A3:E3"/>
  </mergeCells>
  <pageMargins left="0.7" right="0.7" top="0.75" bottom="0.75" header="0.3" footer="0.3"/>
  <pageSetup scale="64" orientation="portrait"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9909B-374C-455C-8E5F-20B9DC790BEE}">
  <sheetPr>
    <tabColor theme="0" tint="-0.14999847407452621"/>
  </sheetPr>
  <dimension ref="B1:AD244"/>
  <sheetViews>
    <sheetView showGridLines="0" zoomScale="90" zoomScaleNormal="90" workbookViewId="0">
      <selection activeCell="B3" sqref="B3"/>
    </sheetView>
  </sheetViews>
  <sheetFormatPr defaultRowHeight="15" x14ac:dyDescent="0.25"/>
  <cols>
    <col min="2" max="2" width="106.5703125" bestFit="1" customWidth="1"/>
    <col min="3" max="3" width="13.140625" bestFit="1" customWidth="1"/>
    <col min="4" max="4" width="12.85546875" bestFit="1" customWidth="1"/>
    <col min="5" max="5" width="34.28515625" bestFit="1" customWidth="1"/>
    <col min="6" max="6" width="16.5703125" bestFit="1" customWidth="1"/>
    <col min="7" max="7" width="31.5703125" bestFit="1" customWidth="1"/>
    <col min="8" max="8" width="118" bestFit="1" customWidth="1"/>
    <col min="10" max="10" width="63" customWidth="1"/>
    <col min="11" max="11" width="63.140625" bestFit="1" customWidth="1"/>
    <col min="12" max="12" width="14.28515625" bestFit="1" customWidth="1"/>
    <col min="13" max="13" width="38.85546875" bestFit="1" customWidth="1"/>
    <col min="14" max="14" width="30.140625" bestFit="1" customWidth="1"/>
    <col min="17" max="17" width="99.28515625" customWidth="1"/>
    <col min="18" max="18" width="11.42578125" customWidth="1"/>
    <col min="19" max="19" width="15.28515625" bestFit="1" customWidth="1"/>
    <col min="20" max="20" width="19.140625" bestFit="1" customWidth="1"/>
    <col min="21" max="21" width="12" bestFit="1" customWidth="1"/>
    <col min="22" max="22" width="15.28515625" bestFit="1" customWidth="1"/>
    <col min="23" max="23" width="17.85546875" bestFit="1" customWidth="1"/>
    <col min="25" max="25" width="39.5703125" bestFit="1" customWidth="1"/>
    <col min="27" max="27" width="20.7109375" bestFit="1" customWidth="1"/>
    <col min="28" max="28" width="20" bestFit="1" customWidth="1"/>
    <col min="30" max="30" width="38.28515625" bestFit="1" customWidth="1"/>
    <col min="34" max="34" width="23.140625" bestFit="1" customWidth="1"/>
    <col min="36" max="36" width="13.85546875" bestFit="1" customWidth="1"/>
    <col min="38" max="38" width="29.140625" bestFit="1" customWidth="1"/>
    <col min="40" max="40" width="39.140625" bestFit="1" customWidth="1"/>
    <col min="42" max="42" width="28.140625" bestFit="1" customWidth="1"/>
    <col min="44" max="44" width="12" bestFit="1" customWidth="1"/>
    <col min="45" max="45" width="12.140625" bestFit="1" customWidth="1"/>
    <col min="47" max="47" width="22.5703125" bestFit="1" customWidth="1"/>
  </cols>
  <sheetData>
    <row r="1" spans="2:30" ht="20.25" thickBot="1" x14ac:dyDescent="0.35">
      <c r="B1" s="31" t="s">
        <v>107</v>
      </c>
      <c r="C1" s="31"/>
      <c r="D1" s="31"/>
      <c r="E1" s="31"/>
      <c r="F1" s="31"/>
      <c r="G1" s="31"/>
      <c r="H1" s="31"/>
      <c r="J1" s="232" t="s">
        <v>48</v>
      </c>
      <c r="K1" s="233"/>
      <c r="L1" s="233"/>
      <c r="M1" s="233"/>
      <c r="Q1" s="234" t="s">
        <v>64</v>
      </c>
      <c r="R1" s="234"/>
      <c r="S1" s="234"/>
      <c r="T1" s="234"/>
      <c r="U1" s="234"/>
      <c r="V1" s="234"/>
      <c r="W1" s="234"/>
      <c r="Y1" s="234" t="s">
        <v>108</v>
      </c>
      <c r="AA1" s="234" t="s">
        <v>81</v>
      </c>
      <c r="AB1" s="234"/>
      <c r="AD1" s="234" t="s">
        <v>109</v>
      </c>
    </row>
    <row r="2" spans="2:30" ht="15.75" thickTop="1" x14ac:dyDescent="0.25">
      <c r="B2" s="13" t="s">
        <v>110</v>
      </c>
      <c r="C2" s="13" t="s">
        <v>111</v>
      </c>
      <c r="D2" s="13" t="s">
        <v>112</v>
      </c>
      <c r="E2" s="13" t="s">
        <v>62</v>
      </c>
      <c r="F2" s="224" t="s">
        <v>42</v>
      </c>
      <c r="G2" s="224" t="s">
        <v>113</v>
      </c>
      <c r="H2" s="224" t="s">
        <v>110</v>
      </c>
      <c r="J2" t="s">
        <v>816</v>
      </c>
      <c r="R2" s="32" t="s">
        <v>114</v>
      </c>
      <c r="S2" s="32"/>
      <c r="T2" s="32"/>
      <c r="U2" s="32" t="s">
        <v>115</v>
      </c>
      <c r="V2" s="32"/>
      <c r="W2" s="32"/>
      <c r="Y2" s="13" t="s">
        <v>116</v>
      </c>
      <c r="AA2" s="13" t="s">
        <v>89</v>
      </c>
      <c r="AB2" s="13" t="s">
        <v>92</v>
      </c>
      <c r="AD2" s="13" t="s">
        <v>117</v>
      </c>
    </row>
    <row r="3" spans="2:30" ht="17.25" x14ac:dyDescent="0.25">
      <c r="B3" s="9" t="s">
        <v>799</v>
      </c>
      <c r="C3" s="24">
        <v>18</v>
      </c>
      <c r="D3" s="24">
        <v>17</v>
      </c>
      <c r="E3" s="9" t="s">
        <v>118</v>
      </c>
      <c r="F3" s="147">
        <v>968030</v>
      </c>
      <c r="G3" s="9" t="s">
        <v>64</v>
      </c>
      <c r="H3" s="350" t="s">
        <v>799</v>
      </c>
      <c r="J3" s="13" t="s">
        <v>119</v>
      </c>
      <c r="K3" s="13" t="s">
        <v>120</v>
      </c>
      <c r="M3" s="13" t="s">
        <v>121</v>
      </c>
      <c r="Q3" s="13" t="s">
        <v>122</v>
      </c>
      <c r="R3" s="13" t="s">
        <v>123</v>
      </c>
      <c r="S3" s="13" t="s">
        <v>124</v>
      </c>
      <c r="T3" s="13" t="s">
        <v>125</v>
      </c>
      <c r="U3" s="13" t="s">
        <v>123</v>
      </c>
      <c r="V3" s="13" t="s">
        <v>124</v>
      </c>
      <c r="W3" s="13" t="s">
        <v>125</v>
      </c>
      <c r="Y3" s="9" t="s">
        <v>83</v>
      </c>
      <c r="AA3" s="9" t="s">
        <v>90</v>
      </c>
      <c r="AB3" s="9" t="s">
        <v>93</v>
      </c>
      <c r="AD3" s="9" t="s">
        <v>76</v>
      </c>
    </row>
    <row r="4" spans="2:30" x14ac:dyDescent="0.25">
      <c r="B4" s="9" t="s">
        <v>65</v>
      </c>
      <c r="C4" s="24">
        <v>45</v>
      </c>
      <c r="D4" s="24">
        <v>42</v>
      </c>
      <c r="E4" s="9" t="s">
        <v>118</v>
      </c>
      <c r="F4" s="147">
        <v>968130</v>
      </c>
      <c r="G4" s="9" t="s">
        <v>64</v>
      </c>
      <c r="H4" s="9" t="s">
        <v>65</v>
      </c>
      <c r="J4" s="9" t="s">
        <v>126</v>
      </c>
      <c r="K4" s="36">
        <v>0.75</v>
      </c>
      <c r="M4" s="18" t="s">
        <v>127</v>
      </c>
      <c r="Q4" s="9" t="s">
        <v>832</v>
      </c>
      <c r="Y4" s="9" t="s">
        <v>128</v>
      </c>
      <c r="AA4" s="9" t="s">
        <v>96</v>
      </c>
      <c r="AB4" s="9" t="s">
        <v>98</v>
      </c>
      <c r="AD4" s="9" t="s">
        <v>129</v>
      </c>
    </row>
    <row r="5" spans="2:30" x14ac:dyDescent="0.25">
      <c r="B5" s="9" t="s">
        <v>66</v>
      </c>
      <c r="C5" s="24">
        <v>70</v>
      </c>
      <c r="D5" s="24">
        <v>66</v>
      </c>
      <c r="E5" s="9" t="s">
        <v>118</v>
      </c>
      <c r="F5" s="147">
        <v>968230</v>
      </c>
      <c r="G5" s="9" t="s">
        <v>64</v>
      </c>
      <c r="H5" s="9" t="s">
        <v>66</v>
      </c>
      <c r="J5" s="9" t="s">
        <v>130</v>
      </c>
      <c r="K5" s="36">
        <v>0.64</v>
      </c>
      <c r="M5" s="9" t="s">
        <v>131</v>
      </c>
      <c r="Q5" s="361" t="s">
        <v>799</v>
      </c>
      <c r="R5" s="33">
        <v>11.8</v>
      </c>
      <c r="S5" s="33">
        <v>13.4</v>
      </c>
      <c r="T5" s="13"/>
      <c r="U5" s="33">
        <v>12.3</v>
      </c>
      <c r="V5" s="357">
        <v>14.5</v>
      </c>
      <c r="W5" s="13"/>
      <c r="AA5" s="9" t="s">
        <v>132</v>
      </c>
      <c r="AD5" s="9" t="s">
        <v>133</v>
      </c>
    </row>
    <row r="6" spans="2:30" x14ac:dyDescent="0.25">
      <c r="B6" s="9" t="s">
        <v>800</v>
      </c>
      <c r="C6" s="24">
        <v>46</v>
      </c>
      <c r="D6" s="24">
        <v>43</v>
      </c>
      <c r="E6" s="9" t="s">
        <v>118</v>
      </c>
      <c r="F6" s="147">
        <v>968330</v>
      </c>
      <c r="G6" s="9" t="s">
        <v>64</v>
      </c>
      <c r="H6" s="350" t="s">
        <v>800</v>
      </c>
      <c r="J6" s="9" t="s">
        <v>50</v>
      </c>
      <c r="K6" s="36">
        <v>0.79</v>
      </c>
      <c r="M6" s="9" t="s">
        <v>134</v>
      </c>
      <c r="Q6" s="361" t="s">
        <v>65</v>
      </c>
      <c r="R6" s="33">
        <v>11.1</v>
      </c>
      <c r="S6" s="33">
        <v>14.7</v>
      </c>
      <c r="T6" s="13"/>
      <c r="U6" s="33">
        <v>12.2</v>
      </c>
      <c r="V6" s="33">
        <v>14.8</v>
      </c>
      <c r="W6" s="13"/>
      <c r="Y6" s="13" t="s">
        <v>135</v>
      </c>
      <c r="AD6" s="9" t="s">
        <v>136</v>
      </c>
    </row>
    <row r="7" spans="2:30" x14ac:dyDescent="0.25">
      <c r="B7" s="9" t="s">
        <v>813</v>
      </c>
      <c r="C7" s="24">
        <v>45</v>
      </c>
      <c r="D7" s="24">
        <v>42</v>
      </c>
      <c r="E7" s="9" t="s">
        <v>118</v>
      </c>
      <c r="F7" s="147">
        <v>968430</v>
      </c>
      <c r="G7" s="9" t="s">
        <v>64</v>
      </c>
      <c r="H7" s="350" t="s">
        <v>813</v>
      </c>
      <c r="J7" s="9" t="s">
        <v>137</v>
      </c>
      <c r="K7" s="36">
        <v>0.8</v>
      </c>
      <c r="M7" s="9" t="s">
        <v>138</v>
      </c>
      <c r="Q7" s="361" t="s">
        <v>66</v>
      </c>
      <c r="R7" s="33">
        <v>10.9</v>
      </c>
      <c r="S7" s="33">
        <v>14.1</v>
      </c>
      <c r="T7" s="13"/>
      <c r="U7" s="33">
        <v>12.2</v>
      </c>
      <c r="V7" s="33">
        <v>14.8</v>
      </c>
      <c r="W7" s="13"/>
      <c r="Y7" s="14" t="s">
        <v>139</v>
      </c>
      <c r="AA7" s="13" t="s">
        <v>140</v>
      </c>
      <c r="AD7" s="9" t="s">
        <v>78</v>
      </c>
    </row>
    <row r="8" spans="2:30" x14ac:dyDescent="0.25">
      <c r="B8" s="9" t="s">
        <v>801</v>
      </c>
      <c r="C8" s="24">
        <v>32</v>
      </c>
      <c r="D8" s="24">
        <v>30</v>
      </c>
      <c r="E8" s="9" t="s">
        <v>118</v>
      </c>
      <c r="F8" s="147">
        <v>968530</v>
      </c>
      <c r="G8" s="9" t="s">
        <v>64</v>
      </c>
      <c r="H8" s="350" t="s">
        <v>801</v>
      </c>
      <c r="J8" s="9" t="s">
        <v>141</v>
      </c>
      <c r="K8" s="36">
        <v>0.76</v>
      </c>
      <c r="M8" s="9" t="s">
        <v>142</v>
      </c>
      <c r="Q8" s="361" t="s">
        <v>800</v>
      </c>
      <c r="R8" s="33">
        <v>9.9</v>
      </c>
      <c r="S8" s="33">
        <v>13.1</v>
      </c>
      <c r="T8" s="13"/>
      <c r="U8" s="33">
        <v>10.8</v>
      </c>
      <c r="V8" s="357">
        <v>13.5</v>
      </c>
      <c r="W8" s="13"/>
      <c r="Y8" s="14" t="s">
        <v>143</v>
      </c>
      <c r="AA8" s="9" t="s">
        <v>102</v>
      </c>
      <c r="AD8" s="9" t="s">
        <v>144</v>
      </c>
    </row>
    <row r="9" spans="2:30" x14ac:dyDescent="0.25">
      <c r="B9" s="9" t="s">
        <v>802</v>
      </c>
      <c r="C9" s="24">
        <v>39</v>
      </c>
      <c r="D9" s="24">
        <v>37</v>
      </c>
      <c r="E9" s="9" t="s">
        <v>118</v>
      </c>
      <c r="F9" s="147">
        <v>968630</v>
      </c>
      <c r="G9" s="9" t="s">
        <v>64</v>
      </c>
      <c r="H9" s="350" t="s">
        <v>802</v>
      </c>
      <c r="J9" s="9" t="s">
        <v>145</v>
      </c>
      <c r="K9" s="36">
        <v>0.71</v>
      </c>
      <c r="M9" s="9" t="s">
        <v>146</v>
      </c>
      <c r="Q9" s="361" t="s">
        <v>833</v>
      </c>
      <c r="Y9" s="14" t="s">
        <v>147</v>
      </c>
      <c r="AA9" s="9" t="s">
        <v>148</v>
      </c>
      <c r="AD9" s="9" t="s">
        <v>149</v>
      </c>
    </row>
    <row r="10" spans="2:30" x14ac:dyDescent="0.25">
      <c r="B10" s="9" t="s">
        <v>803</v>
      </c>
      <c r="C10" s="24">
        <v>69</v>
      </c>
      <c r="D10" s="24">
        <v>64</v>
      </c>
      <c r="E10" s="9" t="s">
        <v>118</v>
      </c>
      <c r="F10" s="147">
        <v>968730</v>
      </c>
      <c r="G10" s="9" t="s">
        <v>64</v>
      </c>
      <c r="H10" s="350" t="s">
        <v>803</v>
      </c>
      <c r="J10" s="9" t="s">
        <v>133</v>
      </c>
      <c r="K10" s="36">
        <v>0.53</v>
      </c>
      <c r="M10" s="9" t="s">
        <v>150</v>
      </c>
      <c r="Q10" s="361" t="s">
        <v>813</v>
      </c>
      <c r="R10" s="14">
        <v>11.8</v>
      </c>
      <c r="S10" s="14">
        <v>13.4</v>
      </c>
      <c r="T10" s="14">
        <v>7.1</v>
      </c>
      <c r="U10" s="14">
        <v>12.3</v>
      </c>
      <c r="V10" s="358">
        <v>14.5</v>
      </c>
      <c r="W10" s="358">
        <v>8</v>
      </c>
      <c r="Y10" s="14" t="s">
        <v>151</v>
      </c>
      <c r="AD10" s="9" t="s">
        <v>152</v>
      </c>
    </row>
    <row r="11" spans="2:30" x14ac:dyDescent="0.25">
      <c r="B11" s="9" t="s">
        <v>72</v>
      </c>
      <c r="C11" s="365">
        <v>90</v>
      </c>
      <c r="D11" s="365">
        <v>80</v>
      </c>
      <c r="E11" s="9" t="s">
        <v>153</v>
      </c>
      <c r="F11" s="147">
        <v>968825</v>
      </c>
      <c r="G11" s="9" t="s">
        <v>64</v>
      </c>
      <c r="H11" s="9" t="s">
        <v>72</v>
      </c>
      <c r="J11" s="9" t="s">
        <v>154</v>
      </c>
      <c r="K11" s="36">
        <v>0.72</v>
      </c>
      <c r="M11" s="9" t="s">
        <v>155</v>
      </c>
      <c r="Q11" s="361" t="s">
        <v>801</v>
      </c>
      <c r="R11" s="14">
        <f>AVERAGE(11,10.8)</f>
        <v>10.9</v>
      </c>
      <c r="S11" s="14">
        <v>14</v>
      </c>
      <c r="T11" s="14">
        <f>3.4*3.412</f>
        <v>11.6008</v>
      </c>
      <c r="U11" s="14">
        <v>11.3</v>
      </c>
      <c r="V11" s="358">
        <v>14.5</v>
      </c>
      <c r="W11" s="14">
        <v>12</v>
      </c>
      <c r="Y11" s="14" t="s">
        <v>156</v>
      </c>
    </row>
    <row r="12" spans="2:30" x14ac:dyDescent="0.25">
      <c r="B12" s="9" t="s">
        <v>804</v>
      </c>
      <c r="C12" s="24">
        <v>67</v>
      </c>
      <c r="D12" s="24">
        <v>63</v>
      </c>
      <c r="E12" s="9" t="s">
        <v>118</v>
      </c>
      <c r="F12" s="147">
        <v>969130</v>
      </c>
      <c r="G12" s="9" t="s">
        <v>64</v>
      </c>
      <c r="H12" s="350" t="s">
        <v>804</v>
      </c>
      <c r="J12" s="348" t="s">
        <v>792</v>
      </c>
      <c r="K12" s="349">
        <v>0.56000000000000005</v>
      </c>
      <c r="M12" s="9" t="s">
        <v>158</v>
      </c>
      <c r="Q12" s="361" t="s">
        <v>802</v>
      </c>
      <c r="R12" s="14">
        <f>AVERAGE(10.6,10.4)</f>
        <v>10.5</v>
      </c>
      <c r="S12" s="14">
        <v>13.4</v>
      </c>
      <c r="T12" s="14">
        <f>3.3*3.412</f>
        <v>11.259599999999999</v>
      </c>
      <c r="U12" s="14">
        <v>10.9</v>
      </c>
      <c r="V12" s="358">
        <v>14</v>
      </c>
      <c r="W12" s="14">
        <v>12</v>
      </c>
      <c r="Y12" s="14" t="s">
        <v>159</v>
      </c>
      <c r="AD12" s="13" t="s">
        <v>160</v>
      </c>
    </row>
    <row r="13" spans="2:30" x14ac:dyDescent="0.25">
      <c r="B13" s="9" t="s">
        <v>805</v>
      </c>
      <c r="C13" s="24">
        <v>65</v>
      </c>
      <c r="D13" s="24">
        <v>61</v>
      </c>
      <c r="E13" s="9" t="s">
        <v>118</v>
      </c>
      <c r="F13" s="147">
        <v>969230</v>
      </c>
      <c r="G13" s="9" t="s">
        <v>64</v>
      </c>
      <c r="H13" s="350" t="s">
        <v>805</v>
      </c>
      <c r="J13" s="9" t="s">
        <v>157</v>
      </c>
      <c r="K13" s="36">
        <v>0.76</v>
      </c>
      <c r="M13" s="9" t="s">
        <v>162</v>
      </c>
      <c r="Q13" s="361" t="s">
        <v>803</v>
      </c>
      <c r="R13" s="14">
        <f>AVERAGE(9.5,9.3)</f>
        <v>9.4</v>
      </c>
      <c r="S13" s="14">
        <v>12.4</v>
      </c>
      <c r="T13" s="14">
        <f>3.2*3.412</f>
        <v>10.9184</v>
      </c>
      <c r="U13" s="14">
        <v>10.3</v>
      </c>
      <c r="V13" s="358">
        <v>13</v>
      </c>
      <c r="W13" s="14">
        <v>12</v>
      </c>
      <c r="AD13" s="9" t="s">
        <v>166</v>
      </c>
    </row>
    <row r="14" spans="2:30" x14ac:dyDescent="0.25">
      <c r="B14" s="9" t="s">
        <v>806</v>
      </c>
      <c r="C14" s="24">
        <v>43</v>
      </c>
      <c r="D14" s="24">
        <v>41</v>
      </c>
      <c r="E14" s="9" t="s">
        <v>118</v>
      </c>
      <c r="F14" s="147">
        <v>969330</v>
      </c>
      <c r="G14" s="9" t="s">
        <v>64</v>
      </c>
      <c r="H14" s="350" t="s">
        <v>806</v>
      </c>
      <c r="J14" s="9" t="s">
        <v>161</v>
      </c>
      <c r="K14" s="36">
        <v>0.81</v>
      </c>
      <c r="M14" s="9" t="s">
        <v>168</v>
      </c>
      <c r="Y14" s="13" t="s">
        <v>169</v>
      </c>
      <c r="AD14" s="9" t="s">
        <v>80</v>
      </c>
    </row>
    <row r="15" spans="2:30" x14ac:dyDescent="0.25">
      <c r="B15" s="9" t="s">
        <v>807</v>
      </c>
      <c r="C15" s="24">
        <v>42</v>
      </c>
      <c r="D15" s="24">
        <v>39</v>
      </c>
      <c r="E15" s="9" t="s">
        <v>118</v>
      </c>
      <c r="F15" s="147">
        <v>969430</v>
      </c>
      <c r="G15" s="9" t="s">
        <v>64</v>
      </c>
      <c r="H15" s="350" t="s">
        <v>807</v>
      </c>
      <c r="J15" s="9" t="s">
        <v>167</v>
      </c>
      <c r="K15" s="36">
        <v>0.96</v>
      </c>
      <c r="M15" s="9" t="s">
        <v>171</v>
      </c>
      <c r="Q15" s="34" t="s">
        <v>73</v>
      </c>
      <c r="R15" s="35" t="s">
        <v>163</v>
      </c>
      <c r="S15" s="35" t="s">
        <v>164</v>
      </c>
      <c r="T15" s="35" t="s">
        <v>165</v>
      </c>
      <c r="Y15" s="9" t="s">
        <v>172</v>
      </c>
      <c r="AD15" s="9" t="s">
        <v>173</v>
      </c>
    </row>
    <row r="16" spans="2:30" x14ac:dyDescent="0.25">
      <c r="B16" s="9" t="s">
        <v>808</v>
      </c>
      <c r="C16" s="24">
        <v>47</v>
      </c>
      <c r="D16" s="24">
        <v>44</v>
      </c>
      <c r="E16" s="9" t="s">
        <v>118</v>
      </c>
      <c r="F16" s="147">
        <v>969530</v>
      </c>
      <c r="G16" s="9" t="s">
        <v>64</v>
      </c>
      <c r="H16" s="350" t="s">
        <v>808</v>
      </c>
      <c r="J16" s="9" t="s">
        <v>170</v>
      </c>
      <c r="K16" s="36">
        <v>0.56000000000000005</v>
      </c>
      <c r="M16" s="9" t="s">
        <v>175</v>
      </c>
      <c r="Q16" s="11" t="s">
        <v>56</v>
      </c>
      <c r="R16" s="366">
        <v>2624.4331596223719</v>
      </c>
      <c r="S16" s="366">
        <v>514.54553052325582</v>
      </c>
      <c r="T16" s="12">
        <v>0.82</v>
      </c>
      <c r="Y16" s="9" t="s">
        <v>177</v>
      </c>
      <c r="AD16" s="9" t="s">
        <v>133</v>
      </c>
    </row>
    <row r="17" spans="2:30" x14ac:dyDescent="0.25">
      <c r="B17" s="9" t="s">
        <v>809</v>
      </c>
      <c r="C17" s="24">
        <v>43</v>
      </c>
      <c r="D17" s="24">
        <v>41</v>
      </c>
      <c r="E17" s="9" t="s">
        <v>118</v>
      </c>
      <c r="F17" s="147">
        <v>969630</v>
      </c>
      <c r="G17" s="9" t="s">
        <v>64</v>
      </c>
      <c r="H17" s="350" t="s">
        <v>809</v>
      </c>
      <c r="J17" s="9" t="s">
        <v>174</v>
      </c>
      <c r="K17" s="36">
        <v>0.83</v>
      </c>
      <c r="M17" s="9" t="s">
        <v>179</v>
      </c>
      <c r="Q17" s="11" t="s">
        <v>166</v>
      </c>
      <c r="R17" s="366">
        <v>1790.5345410769364</v>
      </c>
      <c r="S17" s="366">
        <v>193.80179162328227</v>
      </c>
      <c r="T17" s="12">
        <v>0.78</v>
      </c>
      <c r="Y17" s="9" t="s">
        <v>181</v>
      </c>
      <c r="AD17" s="9" t="s">
        <v>182</v>
      </c>
    </row>
    <row r="18" spans="2:30" x14ac:dyDescent="0.25">
      <c r="B18" s="9" t="s">
        <v>810</v>
      </c>
      <c r="C18" s="24">
        <v>66</v>
      </c>
      <c r="D18" s="24">
        <v>61</v>
      </c>
      <c r="E18" s="9" t="s">
        <v>118</v>
      </c>
      <c r="F18" s="147">
        <v>969730</v>
      </c>
      <c r="G18" s="9" t="s">
        <v>64</v>
      </c>
      <c r="H18" s="350" t="s">
        <v>810</v>
      </c>
      <c r="J18" s="9" t="s">
        <v>178</v>
      </c>
      <c r="K18" s="36">
        <v>0.82</v>
      </c>
      <c r="M18" s="9" t="s">
        <v>184</v>
      </c>
      <c r="Q18" s="11" t="s">
        <v>176</v>
      </c>
      <c r="R18" s="366">
        <v>1654.6710198226535</v>
      </c>
      <c r="S18" s="366">
        <v>503.33976072849578</v>
      </c>
      <c r="T18" s="12">
        <v>0.9</v>
      </c>
      <c r="Y18" s="9" t="s">
        <v>186</v>
      </c>
      <c r="AD18" s="9" t="s">
        <v>152</v>
      </c>
    </row>
    <row r="19" spans="2:30" x14ac:dyDescent="0.25">
      <c r="B19" s="9" t="s">
        <v>811</v>
      </c>
      <c r="C19" s="24">
        <v>56</v>
      </c>
      <c r="D19" s="24">
        <v>53</v>
      </c>
      <c r="E19" s="9" t="s">
        <v>118</v>
      </c>
      <c r="F19" s="147">
        <v>969830</v>
      </c>
      <c r="G19" s="9" t="s">
        <v>64</v>
      </c>
      <c r="H19" s="350" t="s">
        <v>811</v>
      </c>
      <c r="J19" s="9" t="s">
        <v>183</v>
      </c>
      <c r="K19" s="36">
        <v>0.56000000000000005</v>
      </c>
      <c r="M19" s="9" t="s">
        <v>185</v>
      </c>
      <c r="Q19" s="11" t="s">
        <v>180</v>
      </c>
      <c r="R19" s="366">
        <v>1590.6637476836327</v>
      </c>
      <c r="S19" s="366">
        <v>541.95837030364612</v>
      </c>
      <c r="T19" s="12">
        <v>0.85</v>
      </c>
    </row>
    <row r="20" spans="2:30" x14ac:dyDescent="0.25">
      <c r="B20" s="9" t="s">
        <v>812</v>
      </c>
      <c r="C20" s="24">
        <v>53</v>
      </c>
      <c r="D20" s="24">
        <v>50</v>
      </c>
      <c r="E20" s="9" t="s">
        <v>118</v>
      </c>
      <c r="F20" s="147">
        <v>969930</v>
      </c>
      <c r="G20" s="9" t="s">
        <v>64</v>
      </c>
      <c r="H20" s="350" t="s">
        <v>812</v>
      </c>
      <c r="J20" s="9" t="s">
        <v>187</v>
      </c>
      <c r="K20" s="36">
        <v>0.44</v>
      </c>
      <c r="M20" s="9" t="s">
        <v>188</v>
      </c>
      <c r="Q20" s="11" t="s">
        <v>185</v>
      </c>
      <c r="R20" s="367">
        <v>2133.2805663789318</v>
      </c>
      <c r="S20" s="367">
        <v>445.94919311647766</v>
      </c>
      <c r="T20" s="12">
        <v>0.84</v>
      </c>
      <c r="Y20" s="13" t="s">
        <v>190</v>
      </c>
      <c r="AD20" s="13" t="s">
        <v>191</v>
      </c>
    </row>
    <row r="21" spans="2:30" x14ac:dyDescent="0.25">
      <c r="B21" s="9" t="s">
        <v>71</v>
      </c>
      <c r="C21" s="24">
        <v>57</v>
      </c>
      <c r="D21" s="24">
        <v>53</v>
      </c>
      <c r="E21" s="9" t="s">
        <v>192</v>
      </c>
      <c r="F21" s="147">
        <v>960125</v>
      </c>
      <c r="G21" s="9" t="s">
        <v>64</v>
      </c>
      <c r="H21" s="9" t="s">
        <v>71</v>
      </c>
      <c r="J21" s="9" t="s">
        <v>136</v>
      </c>
      <c r="K21" s="36">
        <v>0.45</v>
      </c>
      <c r="M21" s="9" t="s">
        <v>194</v>
      </c>
      <c r="Q21" s="11" t="s">
        <v>78</v>
      </c>
      <c r="R21" s="366">
        <v>1506.1554912739043</v>
      </c>
      <c r="S21" s="366">
        <v>329.42162368567841</v>
      </c>
      <c r="T21" s="12">
        <v>0.77</v>
      </c>
      <c r="Y21" s="9" t="s">
        <v>196</v>
      </c>
      <c r="AD21" s="9" t="s">
        <v>167</v>
      </c>
    </row>
    <row r="22" spans="2:30" x14ac:dyDescent="0.25">
      <c r="B22" s="9" t="s">
        <v>82</v>
      </c>
      <c r="C22" s="24">
        <v>133</v>
      </c>
      <c r="D22" s="24">
        <v>125</v>
      </c>
      <c r="E22" s="9" t="s">
        <v>192</v>
      </c>
      <c r="F22" s="147">
        <v>960125</v>
      </c>
      <c r="G22" s="9" t="s">
        <v>197</v>
      </c>
      <c r="H22" s="9" t="s">
        <v>82</v>
      </c>
      <c r="J22" s="9" t="s">
        <v>193</v>
      </c>
      <c r="K22" s="36">
        <v>0.55000000000000004</v>
      </c>
      <c r="M22" s="9" t="s">
        <v>198</v>
      </c>
      <c r="Q22" s="11" t="s">
        <v>189</v>
      </c>
      <c r="R22" s="366">
        <v>2308.8152919500835</v>
      </c>
      <c r="S22" s="366">
        <v>122.74113753967957</v>
      </c>
      <c r="T22" s="12">
        <v>0.85</v>
      </c>
      <c r="Y22" s="9" t="s">
        <v>87</v>
      </c>
      <c r="AD22" s="9" t="s">
        <v>78</v>
      </c>
    </row>
    <row r="23" spans="2:30" x14ac:dyDescent="0.25">
      <c r="B23" s="9" t="s">
        <v>84</v>
      </c>
      <c r="C23" s="365">
        <v>65</v>
      </c>
      <c r="D23" s="365">
        <v>60</v>
      </c>
      <c r="E23" s="9" t="s">
        <v>192</v>
      </c>
      <c r="F23" s="147">
        <v>960225</v>
      </c>
      <c r="G23" s="9" t="s">
        <v>197</v>
      </c>
      <c r="H23" s="9" t="s">
        <v>84</v>
      </c>
      <c r="J23" s="9" t="s">
        <v>185</v>
      </c>
      <c r="K23" s="36">
        <v>0.64</v>
      </c>
      <c r="M23" s="9" t="s">
        <v>201</v>
      </c>
      <c r="Q23" s="11" t="s">
        <v>195</v>
      </c>
      <c r="R23" s="366">
        <v>2340.7809886765726</v>
      </c>
      <c r="S23" s="366">
        <v>481.0791545542636</v>
      </c>
      <c r="T23" s="12">
        <v>0.82</v>
      </c>
      <c r="Y23" s="9" t="s">
        <v>202</v>
      </c>
      <c r="AD23" s="9" t="s">
        <v>144</v>
      </c>
    </row>
    <row r="24" spans="2:30" x14ac:dyDescent="0.25">
      <c r="B24" s="9" t="s">
        <v>85</v>
      </c>
      <c r="C24" s="365">
        <v>65</v>
      </c>
      <c r="D24" s="365">
        <v>60</v>
      </c>
      <c r="E24" s="9" t="s">
        <v>203</v>
      </c>
      <c r="F24" s="147">
        <v>960525</v>
      </c>
      <c r="G24" s="9" t="s">
        <v>197</v>
      </c>
      <c r="H24" s="9" t="s">
        <v>85</v>
      </c>
      <c r="J24" s="9" t="s">
        <v>200</v>
      </c>
      <c r="K24" s="36">
        <v>0.18</v>
      </c>
      <c r="M24" s="18" t="s">
        <v>205</v>
      </c>
      <c r="Q24" s="11" t="s">
        <v>199</v>
      </c>
      <c r="R24" s="366">
        <v>1640.8270712051362</v>
      </c>
      <c r="S24" s="366">
        <v>658.00073682484617</v>
      </c>
      <c r="T24" s="12">
        <v>0.88</v>
      </c>
      <c r="Y24" s="9" t="s">
        <v>207</v>
      </c>
      <c r="AD24" s="9" t="s">
        <v>208</v>
      </c>
    </row>
    <row r="25" spans="2:30" x14ac:dyDescent="0.25">
      <c r="B25" s="9" t="s">
        <v>88</v>
      </c>
      <c r="C25" s="24">
        <v>418</v>
      </c>
      <c r="D25" s="24">
        <v>392</v>
      </c>
      <c r="E25" s="9" t="s">
        <v>203</v>
      </c>
      <c r="F25" s="147">
        <v>961030</v>
      </c>
      <c r="G25" s="9" t="s">
        <v>209</v>
      </c>
      <c r="H25" s="9" t="s">
        <v>88</v>
      </c>
      <c r="J25" s="9" t="s">
        <v>204</v>
      </c>
      <c r="K25" s="36">
        <v>0.69</v>
      </c>
      <c r="M25" s="9" t="s">
        <v>211</v>
      </c>
      <c r="Q25" s="11" t="s">
        <v>149</v>
      </c>
      <c r="R25" s="366">
        <v>1545.2570168203831</v>
      </c>
      <c r="S25" s="366">
        <v>480.02004704589683</v>
      </c>
      <c r="T25" s="12">
        <v>0.71</v>
      </c>
      <c r="AD25" s="9" t="s">
        <v>149</v>
      </c>
    </row>
    <row r="26" spans="2:30" x14ac:dyDescent="0.25">
      <c r="B26" s="9" t="s">
        <v>91</v>
      </c>
      <c r="C26" s="24">
        <v>1991</v>
      </c>
      <c r="D26" s="24">
        <v>1866</v>
      </c>
      <c r="E26" s="9" t="s">
        <v>203</v>
      </c>
      <c r="F26" s="147">
        <v>961130</v>
      </c>
      <c r="G26" s="9" t="s">
        <v>209</v>
      </c>
      <c r="H26" s="9" t="s">
        <v>91</v>
      </c>
      <c r="J26" s="9" t="s">
        <v>210</v>
      </c>
      <c r="K26" s="36">
        <v>0.84</v>
      </c>
      <c r="M26" s="9" t="s">
        <v>214</v>
      </c>
      <c r="Q26" s="11" t="s">
        <v>206</v>
      </c>
      <c r="R26" s="366">
        <v>1647.2297631629247</v>
      </c>
      <c r="S26" s="366">
        <v>591.637182064895</v>
      </c>
      <c r="T26" s="12">
        <v>0.84</v>
      </c>
      <c r="Y26" s="13" t="s">
        <v>113</v>
      </c>
      <c r="AD26" s="9" t="s">
        <v>152</v>
      </c>
    </row>
    <row r="27" spans="2:30" x14ac:dyDescent="0.25">
      <c r="B27" s="9" t="s">
        <v>94</v>
      </c>
      <c r="C27" s="24">
        <v>367</v>
      </c>
      <c r="D27" s="24">
        <v>344</v>
      </c>
      <c r="E27" s="9" t="s">
        <v>203</v>
      </c>
      <c r="F27" s="147">
        <v>961230</v>
      </c>
      <c r="G27" s="9" t="s">
        <v>209</v>
      </c>
      <c r="H27" s="9" t="s">
        <v>94</v>
      </c>
      <c r="J27" s="9" t="s">
        <v>213</v>
      </c>
      <c r="K27" s="36">
        <v>0.66</v>
      </c>
      <c r="M27" s="9" t="s">
        <v>216</v>
      </c>
      <c r="Q27" s="11" t="s">
        <v>212</v>
      </c>
      <c r="R27" s="366">
        <v>1909.6607686710386</v>
      </c>
      <c r="S27" s="366">
        <v>442.37031009390796</v>
      </c>
      <c r="T27" s="12">
        <v>0.82363636363636372</v>
      </c>
      <c r="Y27" s="9" t="s">
        <v>86</v>
      </c>
    </row>
    <row r="28" spans="2:30" x14ac:dyDescent="0.25">
      <c r="B28" s="9" t="s">
        <v>95</v>
      </c>
      <c r="C28" s="24">
        <v>1679</v>
      </c>
      <c r="D28" s="24">
        <v>1574</v>
      </c>
      <c r="E28" s="9" t="s">
        <v>203</v>
      </c>
      <c r="F28" s="147">
        <v>961330</v>
      </c>
      <c r="G28" s="9" t="s">
        <v>209</v>
      </c>
      <c r="H28" s="9" t="s">
        <v>95</v>
      </c>
      <c r="J28" s="9" t="s">
        <v>215</v>
      </c>
      <c r="K28" s="36">
        <v>0.65</v>
      </c>
      <c r="M28" s="9" t="s">
        <v>130</v>
      </c>
      <c r="Y28" s="9" t="s">
        <v>220</v>
      </c>
    </row>
    <row r="29" spans="2:30" x14ac:dyDescent="0.25">
      <c r="B29" s="9" t="s">
        <v>97</v>
      </c>
      <c r="C29" s="24">
        <v>3097</v>
      </c>
      <c r="D29" s="24">
        <v>2903</v>
      </c>
      <c r="E29" s="9" t="s">
        <v>203</v>
      </c>
      <c r="F29" s="147">
        <v>961430</v>
      </c>
      <c r="G29" s="9" t="s">
        <v>209</v>
      </c>
      <c r="H29" s="9" t="s">
        <v>97</v>
      </c>
      <c r="J29" s="9" t="s">
        <v>217</v>
      </c>
      <c r="K29" s="36">
        <v>0.67</v>
      </c>
      <c r="M29" s="9" t="s">
        <v>221</v>
      </c>
      <c r="R29" s="32" t="s">
        <v>798</v>
      </c>
      <c r="S29" s="32"/>
      <c r="T29" s="32" t="s">
        <v>115</v>
      </c>
      <c r="U29" s="32"/>
    </row>
    <row r="30" spans="2:30" x14ac:dyDescent="0.25">
      <c r="B30" s="9" t="s">
        <v>105</v>
      </c>
      <c r="C30" s="24">
        <v>91</v>
      </c>
      <c r="D30" s="24">
        <v>85</v>
      </c>
      <c r="E30" s="9" t="s">
        <v>203</v>
      </c>
      <c r="F30" s="147">
        <v>961530</v>
      </c>
      <c r="G30" s="9" t="s">
        <v>209</v>
      </c>
      <c r="H30" s="9" t="s">
        <v>105</v>
      </c>
      <c r="J30" s="9" t="s">
        <v>199</v>
      </c>
      <c r="K30" s="36">
        <v>0.84</v>
      </c>
      <c r="M30" s="9" t="s">
        <v>133</v>
      </c>
      <c r="Q30" s="13" t="s">
        <v>51</v>
      </c>
      <c r="R30" s="13" t="s">
        <v>218</v>
      </c>
      <c r="S30" s="13" t="s">
        <v>219</v>
      </c>
      <c r="T30" s="13" t="s">
        <v>218</v>
      </c>
      <c r="U30" s="13" t="s">
        <v>219</v>
      </c>
    </row>
    <row r="31" spans="2:30" x14ac:dyDescent="0.25">
      <c r="B31" s="9" t="s">
        <v>101</v>
      </c>
      <c r="C31" s="24">
        <v>309</v>
      </c>
      <c r="D31" s="24">
        <v>290</v>
      </c>
      <c r="E31" s="9" t="s">
        <v>203</v>
      </c>
      <c r="F31" s="147">
        <v>961630</v>
      </c>
      <c r="G31" s="9" t="s">
        <v>209</v>
      </c>
      <c r="H31" s="9" t="s">
        <v>101</v>
      </c>
      <c r="J31" s="9" t="s">
        <v>222</v>
      </c>
      <c r="K31" s="36">
        <v>0.72</v>
      </c>
      <c r="M31" s="9" t="s">
        <v>224</v>
      </c>
      <c r="Q31" s="9" t="s">
        <v>834</v>
      </c>
    </row>
    <row r="32" spans="2:30" x14ac:dyDescent="0.25">
      <c r="B32" s="9" t="s">
        <v>103</v>
      </c>
      <c r="C32" s="24">
        <v>1840</v>
      </c>
      <c r="D32" s="24">
        <v>1725</v>
      </c>
      <c r="E32" s="9" t="s">
        <v>203</v>
      </c>
      <c r="F32" s="147">
        <v>961730</v>
      </c>
      <c r="G32" s="9" t="s">
        <v>209</v>
      </c>
      <c r="H32" s="9" t="s">
        <v>103</v>
      </c>
      <c r="J32" s="9" t="s">
        <v>223</v>
      </c>
      <c r="K32" s="36">
        <v>0.76</v>
      </c>
      <c r="M32" s="9" t="s">
        <v>167</v>
      </c>
      <c r="Q32" s="362" t="s">
        <v>804</v>
      </c>
      <c r="R32" s="36">
        <v>1.1879999999999999</v>
      </c>
      <c r="S32" s="36">
        <v>0.876</v>
      </c>
      <c r="T32" s="359">
        <v>1.18</v>
      </c>
      <c r="U32" s="36">
        <v>0.76</v>
      </c>
    </row>
    <row r="33" spans="2:21" x14ac:dyDescent="0.25">
      <c r="B33" s="9" t="s">
        <v>104</v>
      </c>
      <c r="C33" s="24">
        <v>2967</v>
      </c>
      <c r="D33" s="24">
        <v>2781</v>
      </c>
      <c r="E33" s="9" t="s">
        <v>203</v>
      </c>
      <c r="F33" s="147">
        <v>961830</v>
      </c>
      <c r="G33" s="9" t="s">
        <v>209</v>
      </c>
      <c r="H33" s="9" t="s">
        <v>104</v>
      </c>
      <c r="J33" s="9" t="s">
        <v>225</v>
      </c>
      <c r="K33" s="36">
        <v>0.69</v>
      </c>
      <c r="M33" s="9" t="s">
        <v>227</v>
      </c>
      <c r="Q33" s="362" t="s">
        <v>805</v>
      </c>
      <c r="R33" s="36">
        <v>1.1879999999999999</v>
      </c>
      <c r="S33" s="36">
        <v>0.85699999999999998</v>
      </c>
      <c r="T33" s="359">
        <v>1.18</v>
      </c>
      <c r="U33" s="36">
        <v>0.75</v>
      </c>
    </row>
    <row r="34" spans="2:21" x14ac:dyDescent="0.25">
      <c r="B34" s="9" t="s">
        <v>99</v>
      </c>
      <c r="C34" s="24">
        <v>3400</v>
      </c>
      <c r="D34" s="24">
        <v>3188</v>
      </c>
      <c r="E34" s="9" t="s">
        <v>203</v>
      </c>
      <c r="F34" s="147">
        <v>961930</v>
      </c>
      <c r="G34" s="9" t="s">
        <v>209</v>
      </c>
      <c r="H34" s="9" t="s">
        <v>99</v>
      </c>
      <c r="J34" s="9" t="s">
        <v>226</v>
      </c>
      <c r="K34" s="36">
        <v>0.5</v>
      </c>
      <c r="M34" s="9" t="s">
        <v>229</v>
      </c>
      <c r="Q34" s="362" t="s">
        <v>806</v>
      </c>
      <c r="R34" s="9">
        <v>0.75</v>
      </c>
      <c r="S34" s="9">
        <v>0.6</v>
      </c>
      <c r="T34" s="360">
        <v>0.74</v>
      </c>
      <c r="U34" s="9">
        <v>0.5</v>
      </c>
    </row>
    <row r="35" spans="2:21" x14ac:dyDescent="0.25">
      <c r="B35" s="9" t="s">
        <v>75</v>
      </c>
      <c r="C35" s="24">
        <v>13</v>
      </c>
      <c r="D35" s="24">
        <v>12</v>
      </c>
      <c r="E35" s="9" t="s">
        <v>230</v>
      </c>
      <c r="F35" s="147">
        <v>965025</v>
      </c>
      <c r="G35" s="9" t="s">
        <v>231</v>
      </c>
      <c r="H35" s="9" t="s">
        <v>75</v>
      </c>
      <c r="J35" s="9" t="s">
        <v>228</v>
      </c>
      <c r="K35" s="36">
        <v>0.45</v>
      </c>
      <c r="M35" s="9" t="s">
        <v>232</v>
      </c>
      <c r="Q35" s="362" t="s">
        <v>807</v>
      </c>
      <c r="R35" s="9">
        <v>0.72</v>
      </c>
      <c r="S35" s="9">
        <v>0.56000000000000005</v>
      </c>
      <c r="T35" s="360">
        <v>0.71</v>
      </c>
      <c r="U35" s="9">
        <v>0.49</v>
      </c>
    </row>
    <row r="36" spans="2:21" ht="25.5" x14ac:dyDescent="0.25">
      <c r="B36" s="9" t="s">
        <v>79</v>
      </c>
      <c r="C36" s="24">
        <v>52</v>
      </c>
      <c r="D36" s="24">
        <v>49</v>
      </c>
      <c r="E36" s="9" t="s">
        <v>233</v>
      </c>
      <c r="F36" s="147">
        <v>965325</v>
      </c>
      <c r="G36" s="9" t="s">
        <v>231</v>
      </c>
      <c r="H36" s="9" t="s">
        <v>79</v>
      </c>
      <c r="J36" s="9" t="s">
        <v>201</v>
      </c>
      <c r="K36" s="36">
        <v>0.91</v>
      </c>
      <c r="M36" s="9" t="s">
        <v>234</v>
      </c>
      <c r="Q36" s="362" t="s">
        <v>808</v>
      </c>
      <c r="R36" s="9">
        <v>0.66</v>
      </c>
      <c r="S36" s="9">
        <v>0.54</v>
      </c>
      <c r="T36" s="360">
        <v>0.65</v>
      </c>
      <c r="U36" s="9">
        <v>0.44</v>
      </c>
    </row>
    <row r="37" spans="2:21" x14ac:dyDescent="0.25">
      <c r="B37" s="9" t="s">
        <v>77</v>
      </c>
      <c r="C37" s="24">
        <v>5</v>
      </c>
      <c r="D37" s="24">
        <v>4</v>
      </c>
      <c r="E37" s="9" t="s">
        <v>235</v>
      </c>
      <c r="F37" s="147">
        <v>965225</v>
      </c>
      <c r="G37" s="9" t="s">
        <v>231</v>
      </c>
      <c r="H37" s="9" t="s">
        <v>77</v>
      </c>
      <c r="M37" s="9" t="s">
        <v>200</v>
      </c>
      <c r="Q37" s="362" t="s">
        <v>809</v>
      </c>
      <c r="R37" s="9">
        <v>0.58499999999999996</v>
      </c>
      <c r="S37" s="9">
        <v>0.51</v>
      </c>
      <c r="T37" s="360">
        <v>0.56999999999999995</v>
      </c>
      <c r="U37" s="9">
        <v>0.41</v>
      </c>
    </row>
    <row r="38" spans="2:21" x14ac:dyDescent="0.25">
      <c r="B38" s="9" t="s">
        <v>236</v>
      </c>
      <c r="C38" s="24">
        <v>0.11</v>
      </c>
      <c r="D38" s="24">
        <v>0.08</v>
      </c>
      <c r="E38" s="9" t="s">
        <v>237</v>
      </c>
      <c r="F38" s="147">
        <v>966034</v>
      </c>
      <c r="G38" s="9" t="s">
        <v>48</v>
      </c>
      <c r="H38" s="9" t="s">
        <v>236</v>
      </c>
      <c r="M38" s="9" t="s">
        <v>215</v>
      </c>
      <c r="Q38" s="362" t="s">
        <v>810</v>
      </c>
      <c r="R38" s="9">
        <v>0.61</v>
      </c>
      <c r="S38" s="9">
        <v>0.55000000000000004</v>
      </c>
      <c r="T38" s="360">
        <v>0.6</v>
      </c>
      <c r="U38" s="9">
        <v>0.4</v>
      </c>
    </row>
    <row r="39" spans="2:21" x14ac:dyDescent="0.25">
      <c r="B39" s="9" t="s">
        <v>238</v>
      </c>
      <c r="C39" s="24">
        <v>0.11</v>
      </c>
      <c r="D39" s="24">
        <v>0.08</v>
      </c>
      <c r="E39" s="9" t="s">
        <v>237</v>
      </c>
      <c r="F39" s="147">
        <v>966134</v>
      </c>
      <c r="G39" s="9" t="s">
        <v>48</v>
      </c>
      <c r="H39" s="9" t="s">
        <v>238</v>
      </c>
      <c r="J39" s="13" t="s">
        <v>239</v>
      </c>
      <c r="M39" s="9" t="s">
        <v>240</v>
      </c>
      <c r="Q39" s="362" t="s">
        <v>811</v>
      </c>
      <c r="R39" s="9">
        <v>0.56000000000000005</v>
      </c>
      <c r="S39" s="9">
        <v>0.51</v>
      </c>
      <c r="T39" s="360">
        <v>0.55000000000000004</v>
      </c>
      <c r="U39" s="9">
        <v>0.38</v>
      </c>
    </row>
    <row r="40" spans="2:21" x14ac:dyDescent="0.25">
      <c r="B40" s="9"/>
      <c r="C40" s="24"/>
      <c r="D40" s="24"/>
      <c r="E40" s="9"/>
      <c r="F40" s="231"/>
      <c r="G40" s="9"/>
      <c r="H40" s="9"/>
      <c r="J40" s="9" t="s">
        <v>49</v>
      </c>
      <c r="M40" s="9" t="s">
        <v>199</v>
      </c>
      <c r="Q40" s="363" t="s">
        <v>812</v>
      </c>
      <c r="R40" s="9">
        <v>0.56000000000000005</v>
      </c>
      <c r="S40" s="9">
        <v>0.5</v>
      </c>
      <c r="T40" s="360">
        <v>0.55000000000000004</v>
      </c>
      <c r="U40" s="9">
        <v>0.38</v>
      </c>
    </row>
    <row r="41" spans="2:21" x14ac:dyDescent="0.25">
      <c r="J41" s="9" t="s">
        <v>241</v>
      </c>
      <c r="M41" s="9" t="s">
        <v>242</v>
      </c>
    </row>
    <row r="42" spans="2:21" x14ac:dyDescent="0.25">
      <c r="B42" s="13" t="s">
        <v>12</v>
      </c>
      <c r="M42" s="9" t="s">
        <v>226</v>
      </c>
    </row>
    <row r="43" spans="2:21" x14ac:dyDescent="0.25">
      <c r="B43" s="9" t="s">
        <v>13</v>
      </c>
      <c r="M43" s="9" t="s">
        <v>228</v>
      </c>
    </row>
    <row r="44" spans="2:21" x14ac:dyDescent="0.25">
      <c r="B44" s="9" t="s">
        <v>243</v>
      </c>
    </row>
    <row r="46" spans="2:21" x14ac:dyDescent="0.25">
      <c r="B46" s="13" t="s">
        <v>244</v>
      </c>
      <c r="J46" t="s">
        <v>245</v>
      </c>
    </row>
    <row r="47" spans="2:21" ht="17.25" x14ac:dyDescent="0.25">
      <c r="B47" s="9" t="s">
        <v>14</v>
      </c>
      <c r="J47" s="13" t="s">
        <v>246</v>
      </c>
      <c r="K47" s="13" t="s">
        <v>247</v>
      </c>
      <c r="L47" s="13" t="s">
        <v>120</v>
      </c>
    </row>
    <row r="48" spans="2:21" x14ac:dyDescent="0.25">
      <c r="B48" s="9" t="s">
        <v>248</v>
      </c>
      <c r="J48" s="9" t="s">
        <v>185</v>
      </c>
      <c r="K48" s="9" t="s">
        <v>249</v>
      </c>
      <c r="L48" s="9">
        <v>0.74</v>
      </c>
    </row>
    <row r="49" spans="2:12" x14ac:dyDescent="0.25">
      <c r="J49" s="9" t="s">
        <v>185</v>
      </c>
      <c r="K49" s="9" t="s">
        <v>250</v>
      </c>
      <c r="L49" s="9">
        <v>0.61</v>
      </c>
    </row>
    <row r="50" spans="2:12" x14ac:dyDescent="0.25">
      <c r="B50" t="s">
        <v>622</v>
      </c>
      <c r="J50" s="9" t="s">
        <v>251</v>
      </c>
      <c r="K50" s="9" t="s">
        <v>252</v>
      </c>
      <c r="L50" s="9">
        <v>0.71</v>
      </c>
    </row>
    <row r="51" spans="2:12" x14ac:dyDescent="0.25">
      <c r="B51" s="94" t="s">
        <v>560</v>
      </c>
      <c r="C51" s="94" t="s">
        <v>571</v>
      </c>
      <c r="D51" s="94" t="s">
        <v>580</v>
      </c>
      <c r="E51" s="94" t="s">
        <v>581</v>
      </c>
      <c r="F51" s="94" t="s">
        <v>584</v>
      </c>
      <c r="G51" s="94" t="s">
        <v>582</v>
      </c>
      <c r="H51" s="94" t="s">
        <v>583</v>
      </c>
      <c r="J51" s="9" t="s">
        <v>251</v>
      </c>
      <c r="K51" s="9" t="s">
        <v>253</v>
      </c>
      <c r="L51" s="9">
        <v>0.89</v>
      </c>
    </row>
    <row r="52" spans="2:12" x14ac:dyDescent="0.25">
      <c r="B52" s="94" t="s">
        <v>561</v>
      </c>
      <c r="C52" s="94" t="s">
        <v>572</v>
      </c>
      <c r="D52" s="94" t="s">
        <v>605</v>
      </c>
      <c r="E52" s="94" t="s">
        <v>608</v>
      </c>
      <c r="F52" s="94" t="s">
        <v>591</v>
      </c>
      <c r="G52" s="95" t="s">
        <v>585</v>
      </c>
      <c r="H52" s="95" t="s">
        <v>595</v>
      </c>
      <c r="J52" s="9" t="s">
        <v>179</v>
      </c>
      <c r="K52" s="9" t="s">
        <v>252</v>
      </c>
      <c r="L52" s="9">
        <v>0.84</v>
      </c>
    </row>
    <row r="53" spans="2:12" ht="26.25" x14ac:dyDescent="0.25">
      <c r="B53" s="94" t="s">
        <v>631</v>
      </c>
      <c r="C53" s="94" t="s">
        <v>563</v>
      </c>
      <c r="D53" s="94" t="s">
        <v>606</v>
      </c>
      <c r="E53" s="94" t="s">
        <v>609</v>
      </c>
      <c r="F53" s="95" t="s">
        <v>592</v>
      </c>
      <c r="G53" s="95" t="s">
        <v>586</v>
      </c>
      <c r="H53" s="95" t="s">
        <v>596</v>
      </c>
      <c r="J53" s="9" t="s">
        <v>179</v>
      </c>
      <c r="K53" s="9" t="s">
        <v>254</v>
      </c>
      <c r="L53" s="9">
        <v>0.51</v>
      </c>
    </row>
    <row r="54" spans="2:12" x14ac:dyDescent="0.25">
      <c r="B54" s="94" t="s">
        <v>562</v>
      </c>
      <c r="C54" s="1"/>
      <c r="D54" s="94" t="s">
        <v>607</v>
      </c>
      <c r="E54" s="94" t="s">
        <v>610</v>
      </c>
      <c r="F54" s="95" t="s">
        <v>593</v>
      </c>
      <c r="G54" s="95" t="s">
        <v>587</v>
      </c>
      <c r="H54" s="1"/>
      <c r="J54" s="9" t="s">
        <v>179</v>
      </c>
      <c r="K54" s="9" t="s">
        <v>255</v>
      </c>
      <c r="L54" s="9">
        <v>1.25</v>
      </c>
    </row>
    <row r="55" spans="2:12" x14ac:dyDescent="0.25">
      <c r="B55" s="94" t="s">
        <v>563</v>
      </c>
      <c r="C55" s="86"/>
      <c r="D55" s="1"/>
      <c r="E55" s="94" t="s">
        <v>611</v>
      </c>
      <c r="F55" s="95" t="s">
        <v>594</v>
      </c>
      <c r="G55" s="95" t="s">
        <v>588</v>
      </c>
      <c r="H55" s="1"/>
      <c r="J55" s="9" t="s">
        <v>179</v>
      </c>
      <c r="K55" s="9" t="s">
        <v>256</v>
      </c>
      <c r="L55" s="9">
        <v>0.23</v>
      </c>
    </row>
    <row r="56" spans="2:12" x14ac:dyDescent="0.25">
      <c r="B56" s="94" t="s">
        <v>564</v>
      </c>
      <c r="C56" s="86"/>
      <c r="D56" s="1"/>
      <c r="E56" s="94" t="s">
        <v>612</v>
      </c>
      <c r="F56" s="95" t="s">
        <v>352</v>
      </c>
      <c r="G56" s="95" t="s">
        <v>589</v>
      </c>
      <c r="H56" s="1"/>
      <c r="J56" s="9" t="s">
        <v>138</v>
      </c>
      <c r="K56" s="9" t="s">
        <v>252</v>
      </c>
      <c r="L56" s="9">
        <v>0.33</v>
      </c>
    </row>
    <row r="57" spans="2:12" x14ac:dyDescent="0.25">
      <c r="B57" s="94" t="s">
        <v>565</v>
      </c>
      <c r="C57" s="86"/>
      <c r="D57" s="1"/>
      <c r="E57" s="95" t="s">
        <v>597</v>
      </c>
      <c r="F57" s="95" t="s">
        <v>590</v>
      </c>
      <c r="G57" s="95" t="s">
        <v>152</v>
      </c>
      <c r="H57" s="1"/>
      <c r="J57" s="9" t="s">
        <v>138</v>
      </c>
      <c r="K57" s="9" t="s">
        <v>257</v>
      </c>
      <c r="L57" s="9">
        <v>0.23</v>
      </c>
    </row>
    <row r="58" spans="2:12" x14ac:dyDescent="0.25">
      <c r="B58" s="94" t="s">
        <v>566</v>
      </c>
      <c r="C58" s="86"/>
      <c r="D58" s="1"/>
      <c r="E58" s="95" t="s">
        <v>598</v>
      </c>
      <c r="F58" s="1"/>
      <c r="G58" s="95" t="s">
        <v>590</v>
      </c>
      <c r="H58" s="1"/>
      <c r="J58" s="9" t="s">
        <v>138</v>
      </c>
      <c r="K58" s="9" t="s">
        <v>258</v>
      </c>
      <c r="L58" s="9">
        <v>0.23</v>
      </c>
    </row>
    <row r="59" spans="2:12" x14ac:dyDescent="0.25">
      <c r="B59" s="1"/>
      <c r="C59" s="86"/>
      <c r="D59" s="1"/>
      <c r="E59" s="95" t="s">
        <v>78</v>
      </c>
      <c r="F59" s="1"/>
      <c r="G59" s="1"/>
      <c r="H59" s="1"/>
      <c r="J59" s="9" t="s">
        <v>138</v>
      </c>
      <c r="K59" s="9" t="s">
        <v>259</v>
      </c>
      <c r="L59" s="9">
        <v>0.33</v>
      </c>
    </row>
    <row r="60" spans="2:12" x14ac:dyDescent="0.25">
      <c r="B60" s="100" t="s">
        <v>573</v>
      </c>
      <c r="C60" s="1"/>
      <c r="D60" s="1"/>
      <c r="E60" s="94" t="s">
        <v>599</v>
      </c>
      <c r="F60" s="1"/>
      <c r="G60" s="1"/>
      <c r="H60" s="1"/>
      <c r="J60" s="9" t="s">
        <v>138</v>
      </c>
      <c r="K60" s="9" t="s">
        <v>253</v>
      </c>
      <c r="L60" s="9">
        <v>0.67</v>
      </c>
    </row>
    <row r="61" spans="2:12" x14ac:dyDescent="0.25">
      <c r="B61" s="100" t="s">
        <v>578</v>
      </c>
      <c r="C61" s="1"/>
      <c r="D61" s="1"/>
      <c r="E61" s="95" t="s">
        <v>199</v>
      </c>
      <c r="F61" s="1"/>
      <c r="G61" s="1"/>
      <c r="H61" s="1"/>
      <c r="J61" s="9" t="s">
        <v>138</v>
      </c>
      <c r="K61" s="9" t="s">
        <v>260</v>
      </c>
      <c r="L61" s="9">
        <v>0.72</v>
      </c>
    </row>
    <row r="62" spans="2:12" x14ac:dyDescent="0.25">
      <c r="B62" s="100" t="s">
        <v>575</v>
      </c>
      <c r="C62" s="1"/>
      <c r="D62" s="1"/>
      <c r="E62" s="95" t="s">
        <v>182</v>
      </c>
      <c r="F62" s="1"/>
      <c r="G62" s="1"/>
      <c r="H62" s="1"/>
      <c r="J62" s="9" t="s">
        <v>138</v>
      </c>
      <c r="K62" s="9" t="s">
        <v>261</v>
      </c>
      <c r="L62" s="9">
        <v>0.33</v>
      </c>
    </row>
    <row r="63" spans="2:12" x14ac:dyDescent="0.25">
      <c r="B63" s="100" t="s">
        <v>639</v>
      </c>
      <c r="C63" s="1"/>
      <c r="D63" s="1"/>
      <c r="E63" s="95" t="s">
        <v>600</v>
      </c>
      <c r="F63" s="1"/>
      <c r="G63" s="1"/>
      <c r="H63" s="1"/>
      <c r="J63" s="9" t="s">
        <v>138</v>
      </c>
      <c r="K63" s="9" t="s">
        <v>255</v>
      </c>
      <c r="L63" s="9">
        <v>1.1599999999999999</v>
      </c>
    </row>
    <row r="64" spans="2:12" x14ac:dyDescent="0.25">
      <c r="B64" s="100" t="s">
        <v>574</v>
      </c>
      <c r="C64" s="1"/>
      <c r="D64" s="1"/>
      <c r="E64" s="95" t="s">
        <v>601</v>
      </c>
      <c r="F64" s="1"/>
      <c r="G64" s="1"/>
      <c r="H64" s="1"/>
      <c r="J64" s="9" t="s">
        <v>138</v>
      </c>
      <c r="K64" s="9" t="s">
        <v>256</v>
      </c>
      <c r="L64" s="9">
        <v>0.27</v>
      </c>
    </row>
    <row r="65" spans="2:12" x14ac:dyDescent="0.25">
      <c r="B65" s="100" t="s">
        <v>576</v>
      </c>
      <c r="C65" s="1"/>
      <c r="D65" s="1"/>
      <c r="E65" s="95" t="s">
        <v>602</v>
      </c>
      <c r="F65" s="1"/>
      <c r="G65" s="1"/>
      <c r="H65" s="1"/>
      <c r="J65" s="9" t="s">
        <v>138</v>
      </c>
      <c r="K65" s="9" t="s">
        <v>262</v>
      </c>
      <c r="L65" s="9">
        <v>0.33</v>
      </c>
    </row>
    <row r="66" spans="2:12" x14ac:dyDescent="0.25">
      <c r="B66" s="100" t="s">
        <v>640</v>
      </c>
      <c r="C66" s="1"/>
      <c r="D66" s="1"/>
      <c r="E66" s="95" t="s">
        <v>603</v>
      </c>
      <c r="F66" s="1"/>
      <c r="G66" s="1"/>
      <c r="H66" s="1"/>
      <c r="J66" s="16" t="s">
        <v>134</v>
      </c>
      <c r="K66" s="16" t="s">
        <v>263</v>
      </c>
      <c r="L66" s="16">
        <v>0.48</v>
      </c>
    </row>
    <row r="67" spans="2:12" x14ac:dyDescent="0.25">
      <c r="B67" s="100" t="s">
        <v>577</v>
      </c>
      <c r="C67" s="1"/>
      <c r="D67" s="1"/>
      <c r="E67" s="95" t="s">
        <v>200</v>
      </c>
      <c r="F67" s="1"/>
      <c r="G67" s="1"/>
      <c r="H67" s="1"/>
      <c r="J67" s="16" t="s">
        <v>134</v>
      </c>
      <c r="K67" s="9" t="s">
        <v>264</v>
      </c>
      <c r="L67" s="36">
        <v>0.6</v>
      </c>
    </row>
    <row r="68" spans="2:12" x14ac:dyDescent="0.25">
      <c r="B68" s="100" t="s">
        <v>579</v>
      </c>
      <c r="C68" s="1"/>
      <c r="D68" s="1"/>
      <c r="E68" s="94" t="s">
        <v>604</v>
      </c>
      <c r="F68" s="1"/>
      <c r="G68" s="1"/>
      <c r="H68" s="1"/>
      <c r="J68" s="9" t="s">
        <v>184</v>
      </c>
      <c r="K68" s="9" t="s">
        <v>252</v>
      </c>
      <c r="L68" s="9">
        <v>0.59</v>
      </c>
    </row>
    <row r="69" spans="2:12" x14ac:dyDescent="0.25">
      <c r="B69" s="100" t="s">
        <v>563</v>
      </c>
      <c r="C69" s="1"/>
      <c r="D69" s="1"/>
      <c r="E69" s="95" t="s">
        <v>228</v>
      </c>
      <c r="F69" s="1"/>
      <c r="G69" s="1"/>
      <c r="H69" s="1"/>
      <c r="J69" s="9" t="s">
        <v>184</v>
      </c>
      <c r="K69" s="9" t="s">
        <v>265</v>
      </c>
      <c r="L69" s="9">
        <v>0.42</v>
      </c>
    </row>
    <row r="70" spans="2:12" x14ac:dyDescent="0.25">
      <c r="J70" s="9" t="s">
        <v>155</v>
      </c>
      <c r="K70" s="9" t="s">
        <v>252</v>
      </c>
      <c r="L70" s="9">
        <v>0.43</v>
      </c>
    </row>
    <row r="71" spans="2:12" x14ac:dyDescent="0.25">
      <c r="B71" s="95" t="s">
        <v>623</v>
      </c>
      <c r="J71" s="9" t="s">
        <v>155</v>
      </c>
      <c r="K71" s="9" t="s">
        <v>253</v>
      </c>
      <c r="L71" s="9">
        <v>0.42</v>
      </c>
    </row>
    <row r="72" spans="2:12" x14ac:dyDescent="0.25">
      <c r="B72" s="96" t="s">
        <v>624</v>
      </c>
      <c r="J72" s="9" t="s">
        <v>155</v>
      </c>
      <c r="K72" s="9" t="s">
        <v>254</v>
      </c>
      <c r="L72" s="9">
        <v>0.43</v>
      </c>
    </row>
    <row r="73" spans="2:12" x14ac:dyDescent="0.25">
      <c r="J73" s="9" t="s">
        <v>155</v>
      </c>
      <c r="K73" s="9" t="s">
        <v>266</v>
      </c>
      <c r="L73" s="9">
        <v>0.86</v>
      </c>
    </row>
    <row r="74" spans="2:12" x14ac:dyDescent="0.25">
      <c r="J74" s="9" t="s">
        <v>155</v>
      </c>
      <c r="K74" s="9" t="s">
        <v>267</v>
      </c>
      <c r="L74" s="36">
        <v>0.6</v>
      </c>
    </row>
    <row r="75" spans="2:12" x14ac:dyDescent="0.25">
      <c r="J75" s="16" t="s">
        <v>168</v>
      </c>
      <c r="K75" s="16" t="s">
        <v>168</v>
      </c>
      <c r="L75" s="16">
        <v>1.0900000000000001</v>
      </c>
    </row>
    <row r="76" spans="2:12" x14ac:dyDescent="0.25">
      <c r="J76" s="9" t="s">
        <v>175</v>
      </c>
      <c r="K76" s="9" t="s">
        <v>175</v>
      </c>
      <c r="L76" s="9">
        <v>1.33</v>
      </c>
    </row>
    <row r="77" spans="2:12" x14ac:dyDescent="0.25">
      <c r="J77" s="9" t="s">
        <v>188</v>
      </c>
      <c r="K77" s="9" t="s">
        <v>188</v>
      </c>
      <c r="L77" s="9">
        <v>0.63</v>
      </c>
    </row>
    <row r="78" spans="2:12" x14ac:dyDescent="0.25">
      <c r="J78" s="15" t="s">
        <v>158</v>
      </c>
      <c r="K78" s="15" t="s">
        <v>158</v>
      </c>
      <c r="L78" s="15">
        <v>0.52</v>
      </c>
    </row>
    <row r="79" spans="2:12" x14ac:dyDescent="0.25">
      <c r="J79" s="9" t="s">
        <v>150</v>
      </c>
      <c r="K79" s="9" t="s">
        <v>252</v>
      </c>
      <c r="L79" s="9">
        <v>0.41</v>
      </c>
    </row>
    <row r="80" spans="2:12" x14ac:dyDescent="0.25">
      <c r="J80" s="9" t="s">
        <v>150</v>
      </c>
      <c r="K80" s="9" t="s">
        <v>265</v>
      </c>
      <c r="L80" s="9">
        <v>0.71</v>
      </c>
    </row>
    <row r="81" spans="10:12" x14ac:dyDescent="0.25">
      <c r="J81" s="9" t="s">
        <v>150</v>
      </c>
      <c r="K81" s="9" t="s">
        <v>268</v>
      </c>
      <c r="L81" s="9">
        <v>0.41</v>
      </c>
    </row>
    <row r="82" spans="10:12" x14ac:dyDescent="0.25">
      <c r="J82" s="17" t="s">
        <v>198</v>
      </c>
      <c r="K82" s="17" t="s">
        <v>269</v>
      </c>
      <c r="L82" s="17">
        <v>0.49</v>
      </c>
    </row>
    <row r="83" spans="10:12" x14ac:dyDescent="0.25">
      <c r="J83" s="9" t="s">
        <v>131</v>
      </c>
      <c r="K83" s="9" t="s">
        <v>252</v>
      </c>
      <c r="L83" s="9">
        <v>0.38</v>
      </c>
    </row>
    <row r="84" spans="10:12" x14ac:dyDescent="0.25">
      <c r="J84" s="9" t="s">
        <v>131</v>
      </c>
      <c r="K84" s="9" t="s">
        <v>265</v>
      </c>
      <c r="L84" s="9">
        <v>0.38</v>
      </c>
    </row>
    <row r="85" spans="10:12" x14ac:dyDescent="0.25">
      <c r="J85" s="16" t="s">
        <v>171</v>
      </c>
      <c r="K85" s="16" t="s">
        <v>252</v>
      </c>
      <c r="L85" s="16">
        <v>0.38</v>
      </c>
    </row>
    <row r="86" spans="10:12" x14ac:dyDescent="0.25">
      <c r="J86" s="16" t="s">
        <v>171</v>
      </c>
      <c r="K86" s="16" t="s">
        <v>270</v>
      </c>
      <c r="L86" s="16">
        <v>0.38</v>
      </c>
    </row>
    <row r="87" spans="10:12" x14ac:dyDescent="0.25">
      <c r="J87" s="16" t="s">
        <v>162</v>
      </c>
      <c r="K87" s="16" t="s">
        <v>162</v>
      </c>
      <c r="L87" s="16">
        <v>0.43</v>
      </c>
    </row>
    <row r="88" spans="10:12" x14ac:dyDescent="0.25">
      <c r="J88" s="9" t="s">
        <v>201</v>
      </c>
      <c r="K88" s="9" t="s">
        <v>201</v>
      </c>
      <c r="L88" s="9">
        <v>1.26</v>
      </c>
    </row>
    <row r="89" spans="10:12" x14ac:dyDescent="0.25">
      <c r="J89" s="9" t="s">
        <v>194</v>
      </c>
      <c r="K89" s="9" t="s">
        <v>271</v>
      </c>
      <c r="L89" s="9">
        <v>1.05</v>
      </c>
    </row>
    <row r="90" spans="10:12" x14ac:dyDescent="0.25">
      <c r="J90" s="9" t="s">
        <v>211</v>
      </c>
      <c r="K90" s="9" t="s">
        <v>272</v>
      </c>
      <c r="L90" s="9">
        <v>0.85</v>
      </c>
    </row>
    <row r="91" spans="10:12" x14ac:dyDescent="0.25">
      <c r="J91" s="9" t="s">
        <v>211</v>
      </c>
      <c r="K91" s="9" t="s">
        <v>273</v>
      </c>
      <c r="L91" s="36">
        <v>0.9</v>
      </c>
    </row>
    <row r="92" spans="10:12" x14ac:dyDescent="0.25">
      <c r="J92" s="9" t="s">
        <v>221</v>
      </c>
      <c r="K92" s="9" t="s">
        <v>274</v>
      </c>
      <c r="L92" s="36">
        <v>1.2</v>
      </c>
    </row>
    <row r="93" spans="10:12" x14ac:dyDescent="0.25">
      <c r="J93" s="9" t="s">
        <v>221</v>
      </c>
      <c r="K93" s="9" t="s">
        <v>275</v>
      </c>
      <c r="L93" s="36">
        <v>1.2</v>
      </c>
    </row>
    <row r="94" spans="10:12" x14ac:dyDescent="0.25">
      <c r="J94" s="9" t="s">
        <v>221</v>
      </c>
      <c r="K94" s="9" t="s">
        <v>276</v>
      </c>
      <c r="L94" s="36">
        <v>1.2</v>
      </c>
    </row>
    <row r="95" spans="10:12" x14ac:dyDescent="0.25">
      <c r="J95" s="9" t="s">
        <v>224</v>
      </c>
      <c r="K95" s="9" t="s">
        <v>277</v>
      </c>
      <c r="L95" s="9">
        <v>0.52</v>
      </c>
    </row>
    <row r="96" spans="10:12" x14ac:dyDescent="0.25">
      <c r="J96" s="9" t="s">
        <v>224</v>
      </c>
      <c r="K96" s="9" t="s">
        <v>278</v>
      </c>
      <c r="L96" s="9">
        <v>0.23</v>
      </c>
    </row>
    <row r="97" spans="10:12" x14ac:dyDescent="0.25">
      <c r="J97" s="9" t="s">
        <v>215</v>
      </c>
      <c r="K97" s="9" t="s">
        <v>279</v>
      </c>
      <c r="L97" s="9">
        <v>0.76</v>
      </c>
    </row>
    <row r="98" spans="10:12" x14ac:dyDescent="0.25">
      <c r="J98" s="9" t="s">
        <v>130</v>
      </c>
      <c r="K98" s="9" t="s">
        <v>280</v>
      </c>
      <c r="L98" s="9">
        <v>0.61</v>
      </c>
    </row>
    <row r="99" spans="10:12" x14ac:dyDescent="0.25">
      <c r="J99" s="9" t="s">
        <v>229</v>
      </c>
      <c r="K99" s="9" t="s">
        <v>281</v>
      </c>
      <c r="L99" s="9">
        <v>0.96</v>
      </c>
    </row>
    <row r="100" spans="10:12" x14ac:dyDescent="0.25">
      <c r="J100" s="9" t="s">
        <v>229</v>
      </c>
      <c r="K100" s="9" t="s">
        <v>282</v>
      </c>
      <c r="L100" s="9">
        <v>1.18</v>
      </c>
    </row>
    <row r="101" spans="10:12" x14ac:dyDescent="0.25">
      <c r="J101" s="9" t="s">
        <v>229</v>
      </c>
      <c r="K101" s="9" t="s">
        <v>283</v>
      </c>
      <c r="L101" s="9">
        <v>0.96</v>
      </c>
    </row>
    <row r="102" spans="10:12" x14ac:dyDescent="0.25">
      <c r="J102" s="9" t="s">
        <v>167</v>
      </c>
      <c r="K102" s="9" t="s">
        <v>284</v>
      </c>
      <c r="L102" s="9">
        <v>2.2599999999999998</v>
      </c>
    </row>
    <row r="103" spans="10:12" x14ac:dyDescent="0.25">
      <c r="J103" s="9" t="s">
        <v>167</v>
      </c>
      <c r="K103" s="9" t="s">
        <v>285</v>
      </c>
      <c r="L103" s="9">
        <v>1.25</v>
      </c>
    </row>
    <row r="104" spans="10:12" x14ac:dyDescent="0.25">
      <c r="J104" s="9" t="s">
        <v>167</v>
      </c>
      <c r="K104" s="9" t="s">
        <v>286</v>
      </c>
      <c r="L104" s="9">
        <v>1.17</v>
      </c>
    </row>
    <row r="105" spans="10:12" x14ac:dyDescent="0.25">
      <c r="J105" s="9" t="s">
        <v>167</v>
      </c>
      <c r="K105" s="9" t="s">
        <v>287</v>
      </c>
      <c r="L105" s="36">
        <v>1.4</v>
      </c>
    </row>
    <row r="106" spans="10:12" x14ac:dyDescent="0.25">
      <c r="J106" s="9" t="s">
        <v>167</v>
      </c>
      <c r="K106" s="350" t="s">
        <v>288</v>
      </c>
      <c r="L106" s="9">
        <v>1.66</v>
      </c>
    </row>
    <row r="107" spans="10:12" x14ac:dyDescent="0.25">
      <c r="J107" s="9" t="s">
        <v>167</v>
      </c>
      <c r="K107" s="9" t="s">
        <v>289</v>
      </c>
      <c r="L107" s="9">
        <v>0.68</v>
      </c>
    </row>
    <row r="108" spans="10:12" x14ac:dyDescent="0.25">
      <c r="J108" s="9" t="s">
        <v>167</v>
      </c>
      <c r="K108" s="9" t="s">
        <v>290</v>
      </c>
      <c r="L108" s="9">
        <v>2.2599999999999998</v>
      </c>
    </row>
    <row r="109" spans="10:12" x14ac:dyDescent="0.25">
      <c r="J109" s="9" t="s">
        <v>167</v>
      </c>
      <c r="K109" s="9" t="s">
        <v>291</v>
      </c>
      <c r="L109" s="9">
        <v>0.92</v>
      </c>
    </row>
    <row r="110" spans="10:12" x14ac:dyDescent="0.25">
      <c r="J110" s="9" t="s">
        <v>167</v>
      </c>
      <c r="K110" s="9" t="s">
        <v>292</v>
      </c>
      <c r="L110" s="9">
        <v>0.62</v>
      </c>
    </row>
    <row r="111" spans="10:12" x14ac:dyDescent="0.25">
      <c r="J111" s="9" t="s">
        <v>167</v>
      </c>
      <c r="K111" s="9" t="s">
        <v>293</v>
      </c>
      <c r="L111" s="9">
        <v>0.91</v>
      </c>
    </row>
    <row r="112" spans="10:12" x14ac:dyDescent="0.25">
      <c r="J112" s="9" t="s">
        <v>167</v>
      </c>
      <c r="K112" s="9" t="s">
        <v>294</v>
      </c>
      <c r="L112" s="9">
        <v>0.94</v>
      </c>
    </row>
    <row r="113" spans="10:12" x14ac:dyDescent="0.25">
      <c r="J113" s="9" t="s">
        <v>167</v>
      </c>
      <c r="K113" s="350" t="s">
        <v>295</v>
      </c>
      <c r="L113" s="9">
        <v>0.53</v>
      </c>
    </row>
    <row r="114" spans="10:12" x14ac:dyDescent="0.25">
      <c r="J114" s="9" t="s">
        <v>214</v>
      </c>
      <c r="K114" s="9" t="s">
        <v>296</v>
      </c>
      <c r="L114" s="36">
        <v>0.6</v>
      </c>
    </row>
    <row r="115" spans="10:12" x14ac:dyDescent="0.25">
      <c r="J115" s="9" t="s">
        <v>232</v>
      </c>
      <c r="K115" s="9" t="s">
        <v>297</v>
      </c>
      <c r="L115" s="9">
        <v>0.86</v>
      </c>
    </row>
    <row r="116" spans="10:12" x14ac:dyDescent="0.25">
      <c r="J116" s="9" t="s">
        <v>232</v>
      </c>
      <c r="K116" s="9" t="s">
        <v>298</v>
      </c>
      <c r="L116" s="9">
        <v>1.24</v>
      </c>
    </row>
    <row r="117" spans="10:12" x14ac:dyDescent="0.25">
      <c r="J117" s="9" t="s">
        <v>232</v>
      </c>
      <c r="K117" s="9" t="s">
        <v>299</v>
      </c>
      <c r="L117" s="36">
        <v>0.8</v>
      </c>
    </row>
    <row r="118" spans="10:12" x14ac:dyDescent="0.25">
      <c r="J118" s="9" t="s">
        <v>232</v>
      </c>
      <c r="K118" s="9" t="s">
        <v>300</v>
      </c>
      <c r="L118" s="9">
        <v>0.76</v>
      </c>
    </row>
    <row r="119" spans="10:12" x14ac:dyDescent="0.25">
      <c r="J119" s="9" t="s">
        <v>232</v>
      </c>
      <c r="K119" s="9" t="s">
        <v>301</v>
      </c>
      <c r="L119" s="9">
        <v>0.94</v>
      </c>
    </row>
    <row r="120" spans="10:12" x14ac:dyDescent="0.25">
      <c r="J120" s="9" t="s">
        <v>227</v>
      </c>
      <c r="K120" s="9" t="s">
        <v>302</v>
      </c>
      <c r="L120" s="9">
        <v>0.41</v>
      </c>
    </row>
    <row r="121" spans="10:12" x14ac:dyDescent="0.25">
      <c r="J121" s="9" t="s">
        <v>133</v>
      </c>
      <c r="K121" s="9" t="s">
        <v>303</v>
      </c>
      <c r="L121" s="36">
        <v>0.5</v>
      </c>
    </row>
    <row r="122" spans="10:12" x14ac:dyDescent="0.25">
      <c r="J122" s="9" t="s">
        <v>234</v>
      </c>
      <c r="K122" s="9" t="s">
        <v>304</v>
      </c>
      <c r="L122" s="9">
        <v>0.31</v>
      </c>
    </row>
    <row r="123" spans="10:12" x14ac:dyDescent="0.25">
      <c r="J123" s="9" t="s">
        <v>234</v>
      </c>
      <c r="K123" s="9" t="s">
        <v>305</v>
      </c>
      <c r="L123" s="36">
        <v>1.1000000000000001</v>
      </c>
    </row>
    <row r="124" spans="10:12" x14ac:dyDescent="0.25">
      <c r="J124" s="19" t="s">
        <v>216</v>
      </c>
      <c r="K124" s="9" t="s">
        <v>306</v>
      </c>
      <c r="L124" s="9">
        <v>0.61</v>
      </c>
    </row>
    <row r="125" spans="10:12" x14ac:dyDescent="0.25">
      <c r="J125" s="9" t="s">
        <v>240</v>
      </c>
      <c r="K125" s="9" t="s">
        <v>307</v>
      </c>
      <c r="L125" s="9">
        <v>0.85</v>
      </c>
    </row>
    <row r="126" spans="10:12" x14ac:dyDescent="0.25">
      <c r="J126" s="9" t="s">
        <v>240</v>
      </c>
      <c r="K126" s="9" t="s">
        <v>308</v>
      </c>
      <c r="L126" s="9">
        <v>0.54</v>
      </c>
    </row>
    <row r="127" spans="10:12" x14ac:dyDescent="0.25">
      <c r="J127" s="9" t="s">
        <v>199</v>
      </c>
      <c r="K127" s="9" t="s">
        <v>271</v>
      </c>
      <c r="L127" s="9">
        <v>1.05</v>
      </c>
    </row>
    <row r="128" spans="10:12" x14ac:dyDescent="0.25">
      <c r="J128" s="9" t="s">
        <v>199</v>
      </c>
      <c r="K128" s="9" t="s">
        <v>309</v>
      </c>
      <c r="L128" s="9">
        <v>0.82</v>
      </c>
    </row>
    <row r="129" spans="10:12" x14ac:dyDescent="0.25">
      <c r="J129" s="9" t="s">
        <v>242</v>
      </c>
      <c r="K129" s="9" t="s">
        <v>794</v>
      </c>
      <c r="L129" s="9">
        <v>2.94</v>
      </c>
    </row>
    <row r="130" spans="10:12" x14ac:dyDescent="0.25">
      <c r="J130" s="9" t="s">
        <v>242</v>
      </c>
      <c r="K130" s="9" t="s">
        <v>795</v>
      </c>
      <c r="L130" s="9">
        <v>2.0099999999999998</v>
      </c>
    </row>
    <row r="131" spans="10:12" x14ac:dyDescent="0.25">
      <c r="J131" s="9" t="s">
        <v>242</v>
      </c>
      <c r="K131" s="9" t="s">
        <v>796</v>
      </c>
      <c r="L131" s="36">
        <v>1.3</v>
      </c>
    </row>
    <row r="132" spans="10:12" x14ac:dyDescent="0.25">
      <c r="J132" s="9" t="s">
        <v>242</v>
      </c>
      <c r="K132" s="9" t="s">
        <v>797</v>
      </c>
      <c r="L132" s="9">
        <v>0.86</v>
      </c>
    </row>
    <row r="133" spans="10:12" x14ac:dyDescent="0.25">
      <c r="J133" s="9" t="s">
        <v>228</v>
      </c>
      <c r="K133" s="9" t="s">
        <v>310</v>
      </c>
      <c r="L133" s="9">
        <v>0.69</v>
      </c>
    </row>
    <row r="134" spans="10:12" x14ac:dyDescent="0.25">
      <c r="J134" s="9" t="s">
        <v>228</v>
      </c>
      <c r="K134" s="9" t="s">
        <v>311</v>
      </c>
      <c r="L134" s="9">
        <v>0.33</v>
      </c>
    </row>
    <row r="135" spans="10:12" x14ac:dyDescent="0.25">
      <c r="J135" s="9" t="s">
        <v>200</v>
      </c>
      <c r="K135" s="9" t="s">
        <v>312</v>
      </c>
      <c r="L135" s="9">
        <v>0.15</v>
      </c>
    </row>
    <row r="136" spans="10:12" x14ac:dyDescent="0.25">
      <c r="J136" s="9" t="s">
        <v>226</v>
      </c>
      <c r="K136" s="9" t="s">
        <v>313</v>
      </c>
      <c r="L136" s="9">
        <v>0.25</v>
      </c>
    </row>
    <row r="137" spans="10:12" x14ac:dyDescent="0.25">
      <c r="J137" s="9" t="s">
        <v>226</v>
      </c>
      <c r="K137" s="9" t="s">
        <v>314</v>
      </c>
      <c r="L137" s="9">
        <v>0.39</v>
      </c>
    </row>
    <row r="138" spans="10:12" x14ac:dyDescent="0.25">
      <c r="J138" s="9" t="s">
        <v>226</v>
      </c>
      <c r="K138" s="9" t="s">
        <v>315</v>
      </c>
      <c r="L138" s="9">
        <v>0.51</v>
      </c>
    </row>
    <row r="140" spans="10:12" x14ac:dyDescent="0.25">
      <c r="J140" t="s">
        <v>316</v>
      </c>
    </row>
    <row r="141" spans="10:12" x14ac:dyDescent="0.25">
      <c r="J141" s="13" t="s">
        <v>73</v>
      </c>
      <c r="K141" s="20" t="s">
        <v>317</v>
      </c>
      <c r="L141" s="20" t="s">
        <v>165</v>
      </c>
    </row>
    <row r="142" spans="10:12" x14ac:dyDescent="0.25">
      <c r="J142" s="9" t="s">
        <v>318</v>
      </c>
      <c r="K142" s="22">
        <v>8760</v>
      </c>
      <c r="L142" s="23">
        <v>1</v>
      </c>
    </row>
    <row r="143" spans="10:12" x14ac:dyDescent="0.25">
      <c r="J143" s="9" t="s">
        <v>319</v>
      </c>
      <c r="K143" s="22">
        <v>2777</v>
      </c>
      <c r="L143" s="23">
        <v>0.47</v>
      </c>
    </row>
    <row r="144" spans="10:12" x14ac:dyDescent="0.25">
      <c r="J144" s="9" t="s">
        <v>320</v>
      </c>
      <c r="K144" s="22">
        <v>3577</v>
      </c>
      <c r="L144" s="23">
        <v>0.69</v>
      </c>
    </row>
    <row r="145" spans="10:12" x14ac:dyDescent="0.25">
      <c r="J145" s="9" t="s">
        <v>321</v>
      </c>
      <c r="K145" s="22">
        <v>4706</v>
      </c>
      <c r="L145" s="23">
        <v>0.95</v>
      </c>
    </row>
    <row r="146" spans="10:12" x14ac:dyDescent="0.25">
      <c r="J146" s="9" t="s">
        <v>322</v>
      </c>
      <c r="K146" s="22">
        <v>6900</v>
      </c>
      <c r="L146" s="23">
        <v>0.95</v>
      </c>
    </row>
    <row r="147" spans="10:12" x14ac:dyDescent="0.25">
      <c r="J147" s="9" t="s">
        <v>323</v>
      </c>
      <c r="K147" s="22">
        <v>6188</v>
      </c>
      <c r="L147" s="23">
        <v>0.81</v>
      </c>
    </row>
    <row r="148" spans="10:12" x14ac:dyDescent="0.25">
      <c r="J148" s="9" t="s">
        <v>324</v>
      </c>
      <c r="K148" s="22">
        <v>4368</v>
      </c>
      <c r="L148" s="23">
        <v>0.81</v>
      </c>
    </row>
    <row r="149" spans="10:12" x14ac:dyDescent="0.25">
      <c r="J149" s="9" t="s">
        <v>325</v>
      </c>
      <c r="K149" s="22">
        <v>3386</v>
      </c>
      <c r="L149" s="23">
        <v>0.77</v>
      </c>
    </row>
    <row r="150" spans="10:12" x14ac:dyDescent="0.25">
      <c r="J150" s="9" t="s">
        <v>326</v>
      </c>
      <c r="K150" s="22">
        <v>5730</v>
      </c>
      <c r="L150" s="23">
        <v>0.78</v>
      </c>
    </row>
    <row r="151" spans="10:12" x14ac:dyDescent="0.25">
      <c r="J151" s="9" t="s">
        <v>327</v>
      </c>
      <c r="K151" s="22">
        <v>6630</v>
      </c>
      <c r="L151" s="23">
        <v>0.82</v>
      </c>
    </row>
    <row r="152" spans="10:12" x14ac:dyDescent="0.25">
      <c r="J152" s="9" t="s">
        <v>328</v>
      </c>
      <c r="K152" s="22">
        <v>3055</v>
      </c>
      <c r="L152" s="23">
        <v>0.25</v>
      </c>
    </row>
    <row r="153" spans="10:12" x14ac:dyDescent="0.25">
      <c r="J153" s="9" t="s">
        <v>329</v>
      </c>
      <c r="K153" s="22">
        <v>4547</v>
      </c>
      <c r="L153" s="23">
        <v>0.64</v>
      </c>
    </row>
    <row r="154" spans="10:12" x14ac:dyDescent="0.25">
      <c r="J154" s="9" t="s">
        <v>330</v>
      </c>
      <c r="K154" s="22">
        <v>6631</v>
      </c>
      <c r="L154" s="23">
        <v>0.89</v>
      </c>
    </row>
    <row r="155" spans="10:12" x14ac:dyDescent="0.25">
      <c r="J155" s="9" t="s">
        <v>331</v>
      </c>
      <c r="K155" s="22">
        <v>4772</v>
      </c>
      <c r="L155" s="23">
        <v>0.87</v>
      </c>
    </row>
    <row r="156" spans="10:12" x14ac:dyDescent="0.25">
      <c r="J156" s="9" t="s">
        <v>332</v>
      </c>
      <c r="K156" s="22">
        <v>4271</v>
      </c>
      <c r="L156" s="23">
        <v>0.78</v>
      </c>
    </row>
    <row r="157" spans="10:12" x14ac:dyDescent="0.25">
      <c r="J157" s="9" t="s">
        <v>185</v>
      </c>
      <c r="K157" s="22">
        <v>3227</v>
      </c>
      <c r="L157" s="23">
        <v>0.54</v>
      </c>
    </row>
    <row r="158" spans="10:12" x14ac:dyDescent="0.25">
      <c r="J158" s="9" t="s">
        <v>333</v>
      </c>
      <c r="K158" s="22">
        <v>3996</v>
      </c>
      <c r="L158" s="23">
        <v>0</v>
      </c>
    </row>
    <row r="159" spans="10:12" x14ac:dyDescent="0.25">
      <c r="J159" s="9" t="s">
        <v>334</v>
      </c>
      <c r="K159" s="22">
        <v>503</v>
      </c>
      <c r="L159" s="23">
        <v>0</v>
      </c>
    </row>
    <row r="160" spans="10:12" x14ac:dyDescent="0.25">
      <c r="J160" s="9" t="s">
        <v>335</v>
      </c>
      <c r="K160" s="22">
        <v>7884</v>
      </c>
      <c r="L160" s="23">
        <v>1</v>
      </c>
    </row>
    <row r="161" spans="10:12" x14ac:dyDescent="0.25">
      <c r="J161" s="9" t="s">
        <v>336</v>
      </c>
      <c r="K161" s="22">
        <v>2638</v>
      </c>
      <c r="L161" s="23">
        <v>0.56000000000000005</v>
      </c>
    </row>
    <row r="162" spans="10:12" x14ac:dyDescent="0.25">
      <c r="J162" s="9" t="s">
        <v>337</v>
      </c>
      <c r="K162" s="22">
        <v>3472</v>
      </c>
      <c r="L162" s="23">
        <v>0.75</v>
      </c>
    </row>
    <row r="163" spans="10:12" x14ac:dyDescent="0.25">
      <c r="J163" s="9" t="s">
        <v>338</v>
      </c>
      <c r="K163" s="22">
        <v>1824</v>
      </c>
      <c r="L163" s="23">
        <v>0.53</v>
      </c>
    </row>
    <row r="164" spans="10:12" x14ac:dyDescent="0.25">
      <c r="J164" s="9" t="s">
        <v>339</v>
      </c>
      <c r="K164" s="22">
        <v>3668</v>
      </c>
      <c r="L164" s="23">
        <v>0.69</v>
      </c>
    </row>
    <row r="165" spans="10:12" x14ac:dyDescent="0.25">
      <c r="J165" s="9" t="s">
        <v>340</v>
      </c>
      <c r="K165" s="22">
        <v>4813</v>
      </c>
      <c r="L165" s="23">
        <v>0.93</v>
      </c>
    </row>
    <row r="166" spans="10:12" x14ac:dyDescent="0.25">
      <c r="J166" s="9" t="s">
        <v>10</v>
      </c>
      <c r="K166" s="22">
        <v>3965</v>
      </c>
      <c r="L166" s="23">
        <v>0.9</v>
      </c>
    </row>
    <row r="167" spans="10:12" x14ac:dyDescent="0.25">
      <c r="J167" s="9" t="s">
        <v>341</v>
      </c>
      <c r="K167" s="22">
        <v>3406</v>
      </c>
      <c r="L167" s="23">
        <v>0.9</v>
      </c>
    </row>
    <row r="168" spans="10:12" x14ac:dyDescent="0.25">
      <c r="J168" s="9" t="s">
        <v>342</v>
      </c>
      <c r="K168" s="22">
        <v>3501</v>
      </c>
      <c r="L168" s="23">
        <v>0.77</v>
      </c>
    </row>
    <row r="169" spans="10:12" x14ac:dyDescent="0.25">
      <c r="J169" s="9" t="s">
        <v>343</v>
      </c>
      <c r="K169" s="22">
        <v>3798</v>
      </c>
      <c r="L169" s="23">
        <v>0.84</v>
      </c>
    </row>
    <row r="172" spans="10:12" x14ac:dyDescent="0.25">
      <c r="J172" t="s">
        <v>344</v>
      </c>
    </row>
    <row r="173" spans="10:12" ht="18" x14ac:dyDescent="0.35">
      <c r="J173" s="13" t="s">
        <v>44</v>
      </c>
      <c r="K173" s="13" t="s">
        <v>345</v>
      </c>
      <c r="L173" s="13" t="s">
        <v>346</v>
      </c>
    </row>
    <row r="174" spans="10:12" x14ac:dyDescent="0.25">
      <c r="J174" s="9" t="s">
        <v>11</v>
      </c>
      <c r="K174" s="9">
        <v>1.2</v>
      </c>
      <c r="L174" s="9">
        <v>1.0900000000000001</v>
      </c>
    </row>
    <row r="175" spans="10:12" x14ac:dyDescent="0.25">
      <c r="J175" s="9" t="s">
        <v>347</v>
      </c>
      <c r="K175" s="9">
        <v>1.2</v>
      </c>
      <c r="L175" s="9">
        <v>0.87</v>
      </c>
    </row>
    <row r="176" spans="10:12" x14ac:dyDescent="0.25">
      <c r="J176" s="9" t="s">
        <v>348</v>
      </c>
      <c r="K176" s="9">
        <v>1.2</v>
      </c>
      <c r="L176" s="9">
        <v>1.02</v>
      </c>
    </row>
    <row r="177" spans="10:12" x14ac:dyDescent="0.25">
      <c r="J177" s="9" t="s">
        <v>349</v>
      </c>
      <c r="K177" s="9">
        <v>1.2</v>
      </c>
      <c r="L177" s="9">
        <v>0.98</v>
      </c>
    </row>
    <row r="178" spans="10:12" x14ac:dyDescent="0.25">
      <c r="J178" s="9" t="s">
        <v>350</v>
      </c>
      <c r="K178" s="9">
        <v>1.25</v>
      </c>
      <c r="L178" s="9">
        <v>1.25</v>
      </c>
    </row>
    <row r="179" spans="10:12" x14ac:dyDescent="0.25">
      <c r="J179" s="9" t="s">
        <v>351</v>
      </c>
      <c r="K179" s="9">
        <v>1.3</v>
      </c>
      <c r="L179" s="9">
        <v>1.3</v>
      </c>
    </row>
    <row r="180" spans="10:12" x14ac:dyDescent="0.25">
      <c r="J180" s="9" t="s">
        <v>352</v>
      </c>
      <c r="K180" s="9">
        <v>1</v>
      </c>
      <c r="L180" s="9">
        <v>1</v>
      </c>
    </row>
    <row r="184" spans="10:12" x14ac:dyDescent="0.25">
      <c r="J184" s="13" t="s">
        <v>353</v>
      </c>
      <c r="K184" s="13" t="s">
        <v>354</v>
      </c>
    </row>
    <row r="185" spans="10:12" x14ac:dyDescent="0.25">
      <c r="J185" s="9" t="s">
        <v>14</v>
      </c>
      <c r="K185" s="24">
        <v>0.11</v>
      </c>
    </row>
    <row r="186" spans="10:12" x14ac:dyDescent="0.25">
      <c r="J186" s="9" t="s">
        <v>248</v>
      </c>
      <c r="K186" s="24">
        <v>0.08</v>
      </c>
    </row>
    <row r="188" spans="10:12" x14ac:dyDescent="0.25">
      <c r="J188" s="13" t="s">
        <v>355</v>
      </c>
      <c r="K188" s="13" t="s">
        <v>356</v>
      </c>
    </row>
    <row r="189" spans="10:12" x14ac:dyDescent="0.25">
      <c r="J189" s="9" t="s">
        <v>14</v>
      </c>
      <c r="K189" s="24">
        <v>0.11</v>
      </c>
    </row>
    <row r="190" spans="10:12" x14ac:dyDescent="0.25">
      <c r="J190" s="9" t="s">
        <v>248</v>
      </c>
      <c r="K190" s="24">
        <v>0.08</v>
      </c>
    </row>
    <row r="193" spans="10:14" x14ac:dyDescent="0.25">
      <c r="J193" t="s">
        <v>817</v>
      </c>
    </row>
    <row r="194" spans="10:14" x14ac:dyDescent="0.25">
      <c r="J194" s="13" t="s">
        <v>113</v>
      </c>
      <c r="K194" s="13" t="s">
        <v>357</v>
      </c>
      <c r="L194" s="13" t="s">
        <v>358</v>
      </c>
      <c r="M194" s="13" t="s">
        <v>359</v>
      </c>
      <c r="N194" s="13" t="s">
        <v>62</v>
      </c>
    </row>
    <row r="195" spans="10:14" x14ac:dyDescent="0.25">
      <c r="J195" s="10" t="s">
        <v>360</v>
      </c>
      <c r="K195" s="9" t="s">
        <v>361</v>
      </c>
      <c r="L195" s="9" t="s">
        <v>54</v>
      </c>
      <c r="M195" s="36">
        <v>0.08</v>
      </c>
      <c r="N195" s="9" t="s">
        <v>362</v>
      </c>
    </row>
    <row r="196" spans="10:14" x14ac:dyDescent="0.25">
      <c r="J196" s="10" t="s">
        <v>53</v>
      </c>
      <c r="K196" s="9" t="s">
        <v>363</v>
      </c>
      <c r="L196" s="9" t="s">
        <v>54</v>
      </c>
      <c r="M196" s="36">
        <v>0.7</v>
      </c>
      <c r="N196" s="9" t="s">
        <v>364</v>
      </c>
    </row>
    <row r="197" spans="10:14" x14ac:dyDescent="0.25">
      <c r="J197" s="10" t="s">
        <v>53</v>
      </c>
      <c r="K197" s="9" t="s">
        <v>365</v>
      </c>
      <c r="L197" s="9" t="s">
        <v>54</v>
      </c>
      <c r="M197" s="36">
        <v>0.14000000000000001</v>
      </c>
      <c r="N197" s="9" t="s">
        <v>362</v>
      </c>
    </row>
    <row r="198" spans="10:14" x14ac:dyDescent="0.25">
      <c r="J198" s="10" t="s">
        <v>53</v>
      </c>
      <c r="K198" s="9" t="s">
        <v>366</v>
      </c>
      <c r="L198" s="9" t="s">
        <v>54</v>
      </c>
      <c r="M198" s="36">
        <v>0.14000000000000001</v>
      </c>
      <c r="N198" s="9" t="s">
        <v>362</v>
      </c>
    </row>
    <row r="199" spans="10:14" x14ac:dyDescent="0.25">
      <c r="J199" s="10" t="s">
        <v>53</v>
      </c>
      <c r="K199" s="9" t="s">
        <v>367</v>
      </c>
      <c r="L199" s="9" t="s">
        <v>54</v>
      </c>
      <c r="M199" s="36">
        <v>0.14000000000000001</v>
      </c>
      <c r="N199" s="9" t="s">
        <v>362</v>
      </c>
    </row>
    <row r="200" spans="10:14" x14ac:dyDescent="0.25">
      <c r="J200" s="10" t="s">
        <v>53</v>
      </c>
      <c r="K200" s="9" t="s">
        <v>818</v>
      </c>
      <c r="L200" s="9" t="s">
        <v>54</v>
      </c>
      <c r="M200" s="36">
        <v>0.95</v>
      </c>
      <c r="N200" s="9" t="s">
        <v>362</v>
      </c>
    </row>
    <row r="201" spans="10:14" x14ac:dyDescent="0.25">
      <c r="J201" s="10" t="s">
        <v>53</v>
      </c>
      <c r="K201" s="9" t="s">
        <v>368</v>
      </c>
      <c r="L201" s="9" t="s">
        <v>54</v>
      </c>
      <c r="M201" s="36">
        <v>0.7</v>
      </c>
      <c r="N201" s="9" t="s">
        <v>362</v>
      </c>
    </row>
    <row r="202" spans="10:14" x14ac:dyDescent="0.25">
      <c r="J202" s="10" t="s">
        <v>53</v>
      </c>
      <c r="K202" s="9" t="s">
        <v>819</v>
      </c>
      <c r="L202" s="9" t="s">
        <v>54</v>
      </c>
      <c r="M202" s="36">
        <v>0.21</v>
      </c>
      <c r="N202" s="9" t="s">
        <v>362</v>
      </c>
    </row>
    <row r="203" spans="10:14" x14ac:dyDescent="0.25">
      <c r="J203" s="10" t="s">
        <v>53</v>
      </c>
      <c r="K203" s="9" t="s">
        <v>820</v>
      </c>
      <c r="L203" s="9" t="s">
        <v>54</v>
      </c>
      <c r="M203" s="36">
        <v>0.04</v>
      </c>
      <c r="N203" s="9" t="s">
        <v>362</v>
      </c>
    </row>
    <row r="204" spans="10:14" x14ac:dyDescent="0.25">
      <c r="J204" s="10" t="s">
        <v>369</v>
      </c>
      <c r="K204" s="9" t="s">
        <v>370</v>
      </c>
      <c r="L204" s="9" t="s">
        <v>54</v>
      </c>
      <c r="M204" s="14">
        <v>21</v>
      </c>
      <c r="N204" s="9" t="s">
        <v>371</v>
      </c>
    </row>
    <row r="205" spans="10:14" x14ac:dyDescent="0.25">
      <c r="J205" s="10" t="s">
        <v>369</v>
      </c>
      <c r="K205" s="9" t="s">
        <v>372</v>
      </c>
      <c r="L205" s="9" t="s">
        <v>54</v>
      </c>
      <c r="M205" s="14">
        <v>21</v>
      </c>
      <c r="N205" s="9" t="s">
        <v>371</v>
      </c>
    </row>
    <row r="206" spans="10:14" x14ac:dyDescent="0.25">
      <c r="J206" s="10" t="s">
        <v>373</v>
      </c>
      <c r="K206" s="9" t="s">
        <v>821</v>
      </c>
      <c r="L206" s="9" t="s">
        <v>54</v>
      </c>
      <c r="M206" s="36">
        <v>0.4</v>
      </c>
      <c r="N206" s="9" t="s">
        <v>362</v>
      </c>
    </row>
    <row r="207" spans="10:14" x14ac:dyDescent="0.25">
      <c r="J207" s="10" t="s">
        <v>373</v>
      </c>
      <c r="K207" s="9" t="s">
        <v>822</v>
      </c>
      <c r="L207" s="9" t="s">
        <v>54</v>
      </c>
      <c r="M207" s="36">
        <v>0.7</v>
      </c>
      <c r="N207" s="9" t="s">
        <v>362</v>
      </c>
    </row>
    <row r="208" spans="10:14" x14ac:dyDescent="0.25">
      <c r="J208" s="10" t="s">
        <v>374</v>
      </c>
      <c r="K208" s="9" t="s">
        <v>375</v>
      </c>
      <c r="L208" s="9" t="s">
        <v>54</v>
      </c>
      <c r="M208" s="36">
        <v>0.5</v>
      </c>
      <c r="N208" s="9" t="s">
        <v>362</v>
      </c>
    </row>
    <row r="209" spans="10:14" x14ac:dyDescent="0.25">
      <c r="J209" s="10" t="s">
        <v>374</v>
      </c>
      <c r="K209" s="9" t="s">
        <v>376</v>
      </c>
      <c r="L209" s="9" t="s">
        <v>54</v>
      </c>
      <c r="M209" s="14">
        <v>21</v>
      </c>
      <c r="N209" s="9" t="s">
        <v>364</v>
      </c>
    </row>
    <row r="210" spans="10:14" x14ac:dyDescent="0.25">
      <c r="J210" s="9" t="s">
        <v>377</v>
      </c>
      <c r="K210" s="9" t="s">
        <v>378</v>
      </c>
      <c r="L210" s="9" t="s">
        <v>55</v>
      </c>
      <c r="M210" s="9">
        <v>0.15</v>
      </c>
      <c r="N210" s="9" t="s">
        <v>379</v>
      </c>
    </row>
    <row r="211" spans="10:14" x14ac:dyDescent="0.25">
      <c r="J211" s="9" t="s">
        <v>377</v>
      </c>
      <c r="K211" s="9" t="s">
        <v>380</v>
      </c>
      <c r="L211" s="9" t="s">
        <v>55</v>
      </c>
      <c r="M211" s="9">
        <v>3.75</v>
      </c>
      <c r="N211" s="9" t="s">
        <v>381</v>
      </c>
    </row>
    <row r="212" spans="10:14" x14ac:dyDescent="0.25">
      <c r="J212" s="9" t="s">
        <v>382</v>
      </c>
      <c r="K212" s="9" t="s">
        <v>383</v>
      </c>
      <c r="L212" s="9" t="s">
        <v>55</v>
      </c>
      <c r="M212" s="9">
        <v>135</v>
      </c>
      <c r="N212" s="9" t="s">
        <v>384</v>
      </c>
    </row>
    <row r="213" spans="10:14" x14ac:dyDescent="0.25">
      <c r="J213" s="9" t="s">
        <v>382</v>
      </c>
      <c r="K213" s="9" t="s">
        <v>385</v>
      </c>
      <c r="L213" s="9" t="s">
        <v>55</v>
      </c>
      <c r="M213" s="9">
        <v>45</v>
      </c>
      <c r="N213" s="9" t="s">
        <v>386</v>
      </c>
    </row>
    <row r="214" spans="10:14" x14ac:dyDescent="0.25">
      <c r="J214" s="9" t="s">
        <v>387</v>
      </c>
      <c r="K214" s="9" t="s">
        <v>388</v>
      </c>
      <c r="L214" s="9" t="s">
        <v>55</v>
      </c>
      <c r="M214" s="9">
        <v>0.5</v>
      </c>
      <c r="N214" s="9" t="s">
        <v>389</v>
      </c>
    </row>
    <row r="215" spans="10:14" x14ac:dyDescent="0.25">
      <c r="J215" s="9" t="s">
        <v>390</v>
      </c>
      <c r="K215" s="9" t="s">
        <v>388</v>
      </c>
      <c r="L215" s="9" t="s">
        <v>55</v>
      </c>
      <c r="M215" s="9">
        <v>0.35</v>
      </c>
      <c r="N215" s="9" t="s">
        <v>389</v>
      </c>
    </row>
    <row r="216" spans="10:14" x14ac:dyDescent="0.25">
      <c r="J216" s="9" t="s">
        <v>391</v>
      </c>
      <c r="K216" s="9" t="s">
        <v>388</v>
      </c>
      <c r="L216" s="9" t="s">
        <v>55</v>
      </c>
      <c r="M216" s="9">
        <v>200</v>
      </c>
      <c r="N216" s="9" t="s">
        <v>392</v>
      </c>
    </row>
    <row r="217" spans="10:14" x14ac:dyDescent="0.25">
      <c r="J217" s="9" t="s">
        <v>393</v>
      </c>
      <c r="K217" s="9" t="s">
        <v>388</v>
      </c>
      <c r="L217" s="9" t="s">
        <v>55</v>
      </c>
      <c r="M217" s="9">
        <v>400</v>
      </c>
      <c r="N217" s="9" t="s">
        <v>394</v>
      </c>
    </row>
    <row r="221" spans="10:14" x14ac:dyDescent="0.25">
      <c r="J221" s="25" t="s">
        <v>113</v>
      </c>
      <c r="K221" s="13" t="s">
        <v>395</v>
      </c>
    </row>
    <row r="222" spans="10:14" x14ac:dyDescent="0.25">
      <c r="J222" s="10" t="s">
        <v>360</v>
      </c>
      <c r="K222" s="9" t="s">
        <v>396</v>
      </c>
    </row>
    <row r="223" spans="10:14" x14ac:dyDescent="0.25">
      <c r="J223" s="10" t="s">
        <v>53</v>
      </c>
      <c r="K223" s="9" t="s">
        <v>397</v>
      </c>
    </row>
    <row r="224" spans="10:14" x14ac:dyDescent="0.25">
      <c r="J224" s="10" t="s">
        <v>369</v>
      </c>
      <c r="K224" s="9" t="s">
        <v>398</v>
      </c>
    </row>
    <row r="225" spans="10:11" x14ac:dyDescent="0.25">
      <c r="J225" s="10" t="s">
        <v>373</v>
      </c>
      <c r="K225" s="9" t="s">
        <v>399</v>
      </c>
    </row>
    <row r="226" spans="10:11" x14ac:dyDescent="0.25">
      <c r="J226" s="10" t="s">
        <v>374</v>
      </c>
      <c r="K226" s="9" t="s">
        <v>400</v>
      </c>
    </row>
    <row r="227" spans="10:11" x14ac:dyDescent="0.25">
      <c r="J227" s="10" t="s">
        <v>377</v>
      </c>
      <c r="K227" s="9" t="s">
        <v>401</v>
      </c>
    </row>
    <row r="228" spans="10:11" x14ac:dyDescent="0.25">
      <c r="J228" s="10" t="s">
        <v>382</v>
      </c>
      <c r="K228" s="9" t="s">
        <v>402</v>
      </c>
    </row>
    <row r="229" spans="10:11" x14ac:dyDescent="0.25">
      <c r="J229" s="10" t="s">
        <v>387</v>
      </c>
      <c r="K229" s="9" t="s">
        <v>403</v>
      </c>
    </row>
    <row r="230" spans="10:11" x14ac:dyDescent="0.25">
      <c r="J230" s="10" t="s">
        <v>390</v>
      </c>
      <c r="K230" s="9" t="s">
        <v>404</v>
      </c>
    </row>
    <row r="231" spans="10:11" x14ac:dyDescent="0.25">
      <c r="J231" s="10" t="s">
        <v>391</v>
      </c>
      <c r="K231" s="9" t="s">
        <v>405</v>
      </c>
    </row>
    <row r="232" spans="10:11" x14ac:dyDescent="0.25">
      <c r="J232" s="10" t="s">
        <v>393</v>
      </c>
      <c r="K232" s="9" t="s">
        <v>406</v>
      </c>
    </row>
    <row r="236" spans="10:11" x14ac:dyDescent="0.25">
      <c r="J236" s="13"/>
      <c r="K236" s="13"/>
    </row>
    <row r="237" spans="10:11" x14ac:dyDescent="0.25">
      <c r="J237" s="9"/>
      <c r="K237" s="36"/>
    </row>
    <row r="238" spans="10:11" x14ac:dyDescent="0.25">
      <c r="J238" s="9"/>
      <c r="K238" s="36"/>
    </row>
    <row r="239" spans="10:11" x14ac:dyDescent="0.25">
      <c r="J239" s="9"/>
      <c r="K239" s="36"/>
    </row>
    <row r="240" spans="10:11" x14ac:dyDescent="0.25">
      <c r="J240" s="9"/>
      <c r="K240" s="36"/>
    </row>
    <row r="241" spans="10:11" x14ac:dyDescent="0.25">
      <c r="J241" s="9"/>
      <c r="K241" s="36"/>
    </row>
    <row r="242" spans="10:11" x14ac:dyDescent="0.25">
      <c r="J242" s="9"/>
      <c r="K242" s="36"/>
    </row>
    <row r="243" spans="10:11" x14ac:dyDescent="0.25">
      <c r="J243" s="9"/>
      <c r="K243" s="36"/>
    </row>
    <row r="244" spans="10:11" x14ac:dyDescent="0.25">
      <c r="J244" s="9"/>
      <c r="K244" s="36"/>
    </row>
  </sheetData>
  <dataValidations count="1">
    <dataValidation type="textLength" operator="lessThanOrEqual" showInputMessage="1" showErrorMessage="1" errorTitle="Length Exceeded" error="This value must be less than or equal to 100 characters long." promptTitle="Text (required)" prompt="Maximum Length: 100 characters." sqref="F40" xr:uid="{DC480394-C381-49D1-BF7E-2A9A8F5866A6}">
      <formula1>100</formula1>
    </dataValidation>
  </dataValidations>
  <pageMargins left="0.7" right="0.7" top="0.75" bottom="0.75" header="0.3" footer="0.3"/>
  <pageSetup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D28A91-164F-4F99-A5F2-1EF912AFEABA}">
  <sheetPr>
    <tabColor theme="0" tint="-0.14999847407452621"/>
  </sheetPr>
  <dimension ref="B1:AD115"/>
  <sheetViews>
    <sheetView showGridLines="0" zoomScaleNormal="100" workbookViewId="0">
      <selection activeCell="B3" sqref="B3"/>
    </sheetView>
  </sheetViews>
  <sheetFormatPr defaultColWidth="9.140625" defaultRowHeight="12.75" x14ac:dyDescent="0.2"/>
  <cols>
    <col min="1" max="1" width="9.140625" style="37"/>
    <col min="2" max="2" width="82.5703125" style="37" bestFit="1" customWidth="1"/>
    <col min="3" max="3" width="9.5703125" style="37" bestFit="1" customWidth="1"/>
    <col min="4" max="4" width="9" style="37" bestFit="1" customWidth="1"/>
    <col min="5" max="5" width="10.5703125" style="37" bestFit="1" customWidth="1"/>
    <col min="6" max="7" width="9.140625" style="37"/>
    <col min="8" max="8" width="46.28515625" style="37" customWidth="1"/>
    <col min="9" max="9" width="12" style="37" bestFit="1" customWidth="1"/>
    <col min="10" max="10" width="7" style="37" bestFit="1" customWidth="1"/>
    <col min="11" max="13" width="9.140625" style="37"/>
    <col min="14" max="14" width="48.85546875" style="37" customWidth="1"/>
    <col min="15" max="20" width="9.140625" style="37"/>
    <col min="21" max="21" width="35.28515625" style="37" bestFit="1" customWidth="1"/>
    <col min="22" max="22" width="10.85546875" style="37" bestFit="1" customWidth="1"/>
    <col min="23" max="24" width="9.140625" style="37"/>
    <col min="25" max="25" width="9.85546875" style="37" bestFit="1" customWidth="1"/>
    <col min="26" max="26" width="22.42578125" style="37" bestFit="1" customWidth="1"/>
    <col min="27" max="27" width="8" style="37" bestFit="1" customWidth="1"/>
    <col min="28" max="28" width="12.85546875" style="37" bestFit="1" customWidth="1"/>
    <col min="29" max="29" width="22.5703125" style="37" bestFit="1" customWidth="1"/>
    <col min="30" max="30" width="8.28515625" style="37" customWidth="1"/>
    <col min="31" max="16384" width="9.140625" style="37"/>
  </cols>
  <sheetData>
    <row r="1" spans="2:30" s="38" customFormat="1" ht="18" x14ac:dyDescent="0.25">
      <c r="B1" s="235" t="s">
        <v>64</v>
      </c>
      <c r="C1" s="235"/>
      <c r="D1" s="235"/>
      <c r="E1" s="37"/>
      <c r="F1" s="37"/>
      <c r="H1" s="235" t="s">
        <v>108</v>
      </c>
      <c r="I1" s="235"/>
      <c r="J1" s="235"/>
      <c r="K1" s="37"/>
      <c r="L1" s="37"/>
      <c r="N1" s="235" t="s">
        <v>81</v>
      </c>
      <c r="O1" s="235"/>
      <c r="P1" s="235"/>
      <c r="Q1" s="235"/>
      <c r="R1" s="235"/>
      <c r="S1" s="235"/>
      <c r="U1" s="235" t="s">
        <v>407</v>
      </c>
      <c r="V1" s="235"/>
      <c r="W1" s="235"/>
    </row>
    <row r="2" spans="2:30" x14ac:dyDescent="0.2">
      <c r="B2" s="236" t="s">
        <v>408</v>
      </c>
      <c r="C2" s="238" t="s">
        <v>409</v>
      </c>
      <c r="D2" s="238" t="s">
        <v>410</v>
      </c>
      <c r="H2" s="238" t="s">
        <v>411</v>
      </c>
      <c r="I2" s="238" t="s">
        <v>412</v>
      </c>
      <c r="J2" s="238" t="s">
        <v>413</v>
      </c>
      <c r="N2" s="236" t="s">
        <v>414</v>
      </c>
      <c r="O2" s="236" t="s">
        <v>110</v>
      </c>
      <c r="P2" s="236" t="s">
        <v>415</v>
      </c>
      <c r="Q2" s="236" t="s">
        <v>416</v>
      </c>
      <c r="R2" s="236" t="s">
        <v>412</v>
      </c>
      <c r="S2" s="236" t="s">
        <v>413</v>
      </c>
      <c r="U2" s="236" t="s">
        <v>417</v>
      </c>
      <c r="V2" s="236" t="s">
        <v>412</v>
      </c>
      <c r="W2" s="236" t="s">
        <v>413</v>
      </c>
      <c r="Y2" s="40" t="s">
        <v>418</v>
      </c>
      <c r="Z2" s="40" t="s">
        <v>419</v>
      </c>
      <c r="AA2" s="40" t="s">
        <v>420</v>
      </c>
      <c r="AB2" s="40" t="s">
        <v>203</v>
      </c>
      <c r="AC2" s="40" t="s">
        <v>421</v>
      </c>
      <c r="AD2" s="41"/>
    </row>
    <row r="3" spans="2:30" x14ac:dyDescent="0.2">
      <c r="B3" s="42" t="str">
        <f>HVAC!$D3</f>
        <v>SELECT A/C UNIT MEASURE FROM DROPDOWN BASED ON PROPOSED EQUIPMENT CAPACITY</v>
      </c>
      <c r="C3" s="43" t="e">
        <f>HVAC!$E3*12000/1000*VLOOKUP(Input_HVACBldgType,Table_EFLH,2,FALSE)*(1/VLOOKUP(HVAC!$D3,Table_RTUFactors,3,FALSE)-1/HVAC!$G3)</f>
        <v>#N/A</v>
      </c>
      <c r="D3" s="44" t="e">
        <f>HVAC!$E3*12000/1000*(1/VLOOKUP(HVAC!$D3,Table_RTUFactors,2,FALSE)-1/HVAC!$F3)*VLOOKUP(Input_HVACBldgType,Table_EFLH,4,FALSE)</f>
        <v>#DIV/0!</v>
      </c>
      <c r="H3" s="42" t="s">
        <v>128</v>
      </c>
      <c r="I3" s="45">
        <v>903.25033846153838</v>
      </c>
      <c r="J3" s="46">
        <v>0.10311076923076924</v>
      </c>
      <c r="N3" s="42" t="str">
        <f>_xlfn.CONCAT(O3,P3,Q3)</f>
        <v>Commercial Dishwasher - ENERGY STAR - Under CounterHigh TempElectric/Electric</v>
      </c>
      <c r="O3" s="42" t="s">
        <v>88</v>
      </c>
      <c r="P3" s="42" t="s">
        <v>89</v>
      </c>
      <c r="Q3" s="42" t="s">
        <v>90</v>
      </c>
      <c r="R3" s="47">
        <v>3198</v>
      </c>
      <c r="S3" s="42">
        <v>0.4</v>
      </c>
      <c r="U3" s="42" t="s">
        <v>76</v>
      </c>
      <c r="V3" s="48">
        <f t="shared" ref="V3:V9" si="0">$AA$27*AA20*($AA$3-$AA$4)*($AA$13-$AA$14)*AA6/$AA$29/3412</f>
        <v>1920.6022249626349</v>
      </c>
      <c r="W3" s="44">
        <f t="shared" ref="W3:W9" si="1">$AA$27*AA20*($AA$3-$AA$4)*($AA$13-$AA$14)*AA33/$AA$29/3412</f>
        <v>0.21047695616028878</v>
      </c>
      <c r="Y3" s="40" t="s">
        <v>422</v>
      </c>
      <c r="Z3" s="40" t="s">
        <v>423</v>
      </c>
      <c r="AA3" s="49">
        <v>2.2000000000000002</v>
      </c>
      <c r="AB3" s="50" t="s">
        <v>424</v>
      </c>
      <c r="AC3" s="50"/>
      <c r="AD3" s="41"/>
    </row>
    <row r="4" spans="2:30" x14ac:dyDescent="0.2">
      <c r="B4" s="42" t="str">
        <f>HVAC!$D4</f>
        <v>SELECT A/C UNIT MEASURE FROM DROPDOWN BASED ON PROPOSED EQUIPMENT CAPACITY</v>
      </c>
      <c r="C4" s="43" t="e" cm="1">
        <f t="array" ref="C4">HVAC!$E4*12000/1000*VLOOKUP(Input_HVACBldgType,Table_EFLH,2,FALSE)*(1/VLOOKUP(HVAC!$D4,Table_RTUFactors,3,FALSE)-1/HVAC!$G4)</f>
        <v>#N/A</v>
      </c>
      <c r="D4" s="44" t="e">
        <f>HVAC!$E4*12000/1000*(1/VLOOKUP(HVAC!$D4,Table_RTUFactors,2,FALSE)-1/HVAC!$F4)*VLOOKUP(Input_HVACBldgType,Table_EFLH,4,FALSE)</f>
        <v>#DIV/0!</v>
      </c>
      <c r="H4" s="42" t="s">
        <v>83</v>
      </c>
      <c r="I4" s="45">
        <v>760.36799999999994</v>
      </c>
      <c r="J4" s="46">
        <v>8.6800000000000002E-2</v>
      </c>
      <c r="N4" s="42" t="str">
        <f t="shared" ref="N4:N25" si="2">_xlfn.CONCAT(O4,P4,Q4)</f>
        <v>Commercial Dishwasher - ENERGY STAR - Under CounterHigh TempGas/Electric</v>
      </c>
      <c r="O4" s="42" t="s">
        <v>88</v>
      </c>
      <c r="P4" s="42" t="s">
        <v>89</v>
      </c>
      <c r="Q4" s="42" t="s">
        <v>96</v>
      </c>
      <c r="R4" s="47">
        <v>2099</v>
      </c>
      <c r="S4" s="42">
        <v>0.3</v>
      </c>
      <c r="U4" s="42" t="s">
        <v>129</v>
      </c>
      <c r="V4" s="48">
        <f t="shared" si="0"/>
        <v>192.06022249626355</v>
      </c>
      <c r="W4" s="44">
        <f t="shared" si="1"/>
        <v>1.5785771712021657E-2</v>
      </c>
      <c r="Y4" s="40" t="s">
        <v>425</v>
      </c>
      <c r="Z4" s="40" t="s">
        <v>426</v>
      </c>
      <c r="AA4" s="49">
        <f>Other!$E$3</f>
        <v>0</v>
      </c>
      <c r="AB4" s="50" t="s">
        <v>424</v>
      </c>
      <c r="AC4" s="50"/>
      <c r="AD4" s="41"/>
    </row>
    <row r="5" spans="2:30" x14ac:dyDescent="0.2">
      <c r="B5" s="42" t="str">
        <f>HVAC!$D5</f>
        <v>SELECT A/C UNIT MEASURE FROM DROPDOWN BASED ON PROPOSED EQUIPMENT CAPACITY</v>
      </c>
      <c r="C5" s="43" t="e" cm="1">
        <f t="array" ref="C5">HVAC!$E5*12000/1000*VLOOKUP(Input_HVACBldgType,Table_EFLH,2,FALSE)*(1/VLOOKUP(HVAC!$D5,Table_RTUFactors,3,FALSE)-1/HVAC!$G5)</f>
        <v>#N/A</v>
      </c>
      <c r="D5" s="44" t="e">
        <f>HVAC!$E5*12000/1000*(1/VLOOKUP(HVAC!$D5,Table_RTUFactors,2,FALSE)-1/HVAC!$F5)*VLOOKUP(Input_HVACBldgType,Table_EFLH,4,FALSE)</f>
        <v>#DIV/0!</v>
      </c>
      <c r="N5" s="42" t="str">
        <f t="shared" si="2"/>
        <v>Commercial Dishwasher - ENERGY STAR - Under CounterHigh TempGas/Gas</v>
      </c>
      <c r="O5" s="42" t="s">
        <v>88</v>
      </c>
      <c r="P5" s="42" t="s">
        <v>89</v>
      </c>
      <c r="Q5" s="42" t="s">
        <v>132</v>
      </c>
      <c r="R5" s="47">
        <v>1471</v>
      </c>
      <c r="S5" s="42">
        <v>0.2</v>
      </c>
      <c r="U5" s="42" t="s">
        <v>133</v>
      </c>
      <c r="V5" s="48">
        <f t="shared" si="0"/>
        <v>1441.7671496979781</v>
      </c>
      <c r="W5" s="44">
        <f t="shared" si="1"/>
        <v>0.21047695616028878</v>
      </c>
      <c r="Y5" s="40" t="s">
        <v>427</v>
      </c>
      <c r="Z5" s="40" t="s">
        <v>428</v>
      </c>
      <c r="AA5" s="49">
        <f>AVERAGE(AA6:AA12)</f>
        <v>312</v>
      </c>
      <c r="AB5" s="50" t="s">
        <v>429</v>
      </c>
      <c r="AC5" s="50" t="s">
        <v>430</v>
      </c>
      <c r="AD5" s="41"/>
    </row>
    <row r="6" spans="2:30" x14ac:dyDescent="0.2">
      <c r="B6" s="42" t="str">
        <f>HVAC!$D6</f>
        <v>SELECT A/C UNIT MEASURE FROM DROPDOWN BASED ON PROPOSED EQUIPMENT CAPACITY</v>
      </c>
      <c r="C6" s="43" t="e">
        <f>HVAC!$E6*12000/1000*VLOOKUP(Input_HVACBldgType,Table_EFLH,2,FALSE)*(1/VLOOKUP(HVAC!$D6,Table_RTUFactors,3,FALSE)-1/HVAC!$G6)</f>
        <v>#N/A</v>
      </c>
      <c r="D6" s="44" t="e">
        <f>HVAC!$E6*12000/1000*(1/VLOOKUP(HVAC!$D6,Table_RTUFactors,2,FALSE)-1/HVAC!$F6)*VLOOKUP(Input_HVACBldgType,Table_EFLH,4,FALSE)</f>
        <v>#DIV/0!</v>
      </c>
      <c r="H6" s="238" t="s">
        <v>431</v>
      </c>
      <c r="I6" s="238" t="s">
        <v>412</v>
      </c>
      <c r="J6" s="238" t="s">
        <v>413</v>
      </c>
      <c r="N6" s="42" t="str">
        <f t="shared" si="2"/>
        <v>Commercial Dishwasher - ENERGY STAR - Under CounterLow TempElectric/No Booster</v>
      </c>
      <c r="O6" s="42" t="s">
        <v>88</v>
      </c>
      <c r="P6" s="42" t="s">
        <v>92</v>
      </c>
      <c r="Q6" s="42" t="s">
        <v>93</v>
      </c>
      <c r="R6" s="47">
        <v>2580</v>
      </c>
      <c r="S6" s="42">
        <v>0.3</v>
      </c>
      <c r="U6" s="42" t="s">
        <v>136</v>
      </c>
      <c r="V6" s="48">
        <f t="shared" si="0"/>
        <v>192.06022249626355</v>
      </c>
      <c r="W6" s="44">
        <f t="shared" si="1"/>
        <v>1.5785771712021657E-2</v>
      </c>
      <c r="Y6" s="50"/>
      <c r="Z6" s="51" t="s">
        <v>76</v>
      </c>
      <c r="AA6" s="50">
        <v>365</v>
      </c>
      <c r="AB6" s="50" t="s">
        <v>429</v>
      </c>
      <c r="AC6" s="50"/>
      <c r="AD6" s="41"/>
    </row>
    <row r="7" spans="2:30" x14ac:dyDescent="0.2">
      <c r="H7" s="42" t="s">
        <v>128</v>
      </c>
      <c r="I7" s="45">
        <v>543.47039999999993</v>
      </c>
      <c r="J7" s="46">
        <v>6.2039999999999991E-2</v>
      </c>
      <c r="N7" s="42" t="str">
        <f t="shared" si="2"/>
        <v>Commercial Dishwasher - ENERGY STAR - Under CounterLow TempGas/No Booster</v>
      </c>
      <c r="O7" s="42" t="s">
        <v>88</v>
      </c>
      <c r="P7" s="42" t="s">
        <v>92</v>
      </c>
      <c r="Q7" s="42" t="s">
        <v>98</v>
      </c>
      <c r="R7" s="47">
        <v>0</v>
      </c>
      <c r="S7" s="42">
        <v>0</v>
      </c>
      <c r="U7" s="42" t="s">
        <v>78</v>
      </c>
      <c r="V7" s="48">
        <f t="shared" si="0"/>
        <v>192.06022249626355</v>
      </c>
      <c r="W7" s="44">
        <f t="shared" si="1"/>
        <v>1.0523847808014438E-2</v>
      </c>
      <c r="Y7" s="50"/>
      <c r="Z7" s="51" t="s">
        <v>129</v>
      </c>
      <c r="AA7" s="50">
        <v>365</v>
      </c>
      <c r="AB7" s="50" t="s">
        <v>429</v>
      </c>
      <c r="AC7" s="50"/>
      <c r="AD7" s="41"/>
    </row>
    <row r="8" spans="2:30" x14ac:dyDescent="0.2">
      <c r="B8" s="236" t="s">
        <v>432</v>
      </c>
      <c r="C8" s="238" t="s">
        <v>433</v>
      </c>
      <c r="D8" s="238" t="s">
        <v>434</v>
      </c>
      <c r="E8" s="238" t="s">
        <v>435</v>
      </c>
      <c r="F8" s="238" t="s">
        <v>410</v>
      </c>
      <c r="H8" s="42" t="s">
        <v>83</v>
      </c>
      <c r="I8" s="45">
        <v>501.072</v>
      </c>
      <c r="J8" s="46">
        <v>5.7200000000000001E-2</v>
      </c>
      <c r="N8" s="42" t="str">
        <f t="shared" si="2"/>
        <v>Commercial Dishwasher - ENERGY STAR - Stationary Single Tank DoorHigh TempElectric/Electric</v>
      </c>
      <c r="O8" s="42" t="s">
        <v>91</v>
      </c>
      <c r="P8" s="42" t="s">
        <v>89</v>
      </c>
      <c r="Q8" s="42" t="s">
        <v>90</v>
      </c>
      <c r="R8" s="47">
        <v>12040</v>
      </c>
      <c r="S8" s="42">
        <v>1.5</v>
      </c>
      <c r="U8" s="42" t="s">
        <v>144</v>
      </c>
      <c r="V8" s="48">
        <f t="shared" si="0"/>
        <v>1315.4809760018047</v>
      </c>
      <c r="W8" s="44">
        <f t="shared" si="1"/>
        <v>0.42095391232057755</v>
      </c>
      <c r="Y8" s="50"/>
      <c r="Z8" s="51" t="s">
        <v>133</v>
      </c>
      <c r="AA8" s="50">
        <v>274</v>
      </c>
      <c r="AB8" s="50" t="s">
        <v>429</v>
      </c>
      <c r="AC8" s="50"/>
      <c r="AD8" s="41"/>
    </row>
    <row r="9" spans="2:30" x14ac:dyDescent="0.2">
      <c r="B9" s="42" t="str">
        <f>HVAC!$D7</f>
        <v>SELECT HEAT PUMP UNIT MEASURE FROM DROPDOWN BASED ON PROPOSED EQUIPMENT CAPACITY</v>
      </c>
      <c r="C9" s="43" t="e">
        <f>HVAC!$E7*12000/1000*VLOOKUP(Input_HVACBldgType,Table_EFLH,2,FALSE)*(1/VLOOKUP(HVAC!$D7,Table_RTUFactors,3,FALSE)-1/HVAC!$G7)</f>
        <v>#N/A</v>
      </c>
      <c r="D9" s="43" t="e">
        <f>HVAC!$E7*12000/1000*VLOOKUP(Input_HVACBldgType,Table_EFLH,3,FALSE)*(1/VLOOKUP(HVAC!$D7,Table_RTUFactors,4,FALSE)-1/HVAC!$H7)</f>
        <v>#N/A</v>
      </c>
      <c r="E9" s="52" t="e">
        <f>SUM(C9:D9)</f>
        <v>#N/A</v>
      </c>
      <c r="F9" s="44" t="e">
        <f>HVAC!$E7*12000/1000*(1/VLOOKUP(HVAC!$D7,Table_RTUFactors,2,FALSE)-1/HVAC!$F7)*VLOOKUP(Input_HVACBldgType,Table_EFLH,4,FALSE)</f>
        <v>#DIV/0!</v>
      </c>
      <c r="H9" s="42" t="s">
        <v>436</v>
      </c>
      <c r="I9" s="45">
        <v>462.52799999999996</v>
      </c>
      <c r="J9" s="46">
        <v>5.2799999999999993E-2</v>
      </c>
      <c r="N9" s="42" t="str">
        <f t="shared" si="2"/>
        <v>Commercial Dishwasher - ENERGY STAR - Stationary Single Tank DoorHigh TempGas/Electric</v>
      </c>
      <c r="O9" s="42" t="s">
        <v>91</v>
      </c>
      <c r="P9" s="42" t="s">
        <v>89</v>
      </c>
      <c r="Q9" s="42" t="s">
        <v>96</v>
      </c>
      <c r="R9" s="47">
        <v>4905</v>
      </c>
      <c r="S9" s="42">
        <v>0.6</v>
      </c>
      <c r="U9" s="42" t="s">
        <v>149</v>
      </c>
      <c r="V9" s="48">
        <f t="shared" si="0"/>
        <v>1052.3847808014436</v>
      </c>
      <c r="W9" s="44">
        <f t="shared" si="1"/>
        <v>0.26309619520036093</v>
      </c>
      <c r="Y9" s="50"/>
      <c r="Z9" s="51" t="s">
        <v>136</v>
      </c>
      <c r="AA9" s="50">
        <v>365</v>
      </c>
      <c r="AB9" s="50" t="s">
        <v>429</v>
      </c>
      <c r="AC9" s="50"/>
      <c r="AD9" s="41"/>
    </row>
    <row r="10" spans="2:30" x14ac:dyDescent="0.2">
      <c r="B10" s="42" t="str">
        <f>HVAC!$D8</f>
        <v>SELECT HEAT PUMP UNIT MEASURE FROM DROPDOWN BASED ON PROPOSED EQUIPMENT CAPACITY</v>
      </c>
      <c r="C10" s="43" t="e">
        <f>HVAC!$E8*12000/1000*VLOOKUP(Input_HVACBldgType,Table_EFLH,2,FALSE)*(1/VLOOKUP(HVAC!$D8,Table_RTUFactors,3,FALSE)-1/HVAC!$G8)</f>
        <v>#N/A</v>
      </c>
      <c r="D10" s="43" t="e">
        <f>HVAC!$E8*12000/1000*VLOOKUP(Input_HVACBldgType,Table_EFLH,3,FALSE)*(1/VLOOKUP(HVAC!$D8,Table_RTUFactors,4,FALSE)-1/HVAC!$H8)</f>
        <v>#N/A</v>
      </c>
      <c r="E10" s="52" t="e">
        <f t="shared" ref="E10:E12" si="3">SUM(C10:D10)</f>
        <v>#N/A</v>
      </c>
      <c r="F10" s="44" t="e">
        <f>HVAC!$E8*12000/1000*(1/VLOOKUP(HVAC!$D8,Table_RTUFactors,2,FALSE)-1/HVAC!$F8)*VLOOKUP(Input_HVACBldgType,Table_EFLH,4,FALSE)</f>
        <v>#DIV/0!</v>
      </c>
      <c r="N10" s="42" t="str">
        <f t="shared" si="2"/>
        <v>Commercial Dishwasher - ENERGY STAR - Stationary Single Tank DoorHigh TempGas/Gas</v>
      </c>
      <c r="O10" s="42" t="s">
        <v>91</v>
      </c>
      <c r="P10" s="42" t="s">
        <v>89</v>
      </c>
      <c r="Q10" s="42" t="s">
        <v>132</v>
      </c>
      <c r="R10" s="47">
        <v>827</v>
      </c>
      <c r="S10" s="42">
        <v>0.1</v>
      </c>
      <c r="U10" s="42" t="s">
        <v>152</v>
      </c>
      <c r="V10" s="48">
        <f>$AA$27*AA19*($AA$3-$AA$4)*($AA$13-$AA$14)*AA5/$AA$29/3412</f>
        <v>1008.4853013737264</v>
      </c>
      <c r="W10" s="44">
        <f>$AA$27*AA19*($AA$3-$AA$4)*($AA$13-$AA$14)*AA32/$AA$29/3412</f>
        <v>0.13391059404687758</v>
      </c>
      <c r="Y10" s="50"/>
      <c r="Z10" s="51" t="s">
        <v>78</v>
      </c>
      <c r="AA10" s="50">
        <v>365</v>
      </c>
      <c r="AB10" s="50" t="s">
        <v>429</v>
      </c>
      <c r="AC10" s="50"/>
      <c r="AD10" s="41"/>
    </row>
    <row r="11" spans="2:30" x14ac:dyDescent="0.2">
      <c r="B11" s="42" t="str">
        <f>HVAC!$D9</f>
        <v>SELECT HEAT PUMP UNIT MEASURE FROM DROPDOWN BASED ON PROPOSED EQUIPMENT CAPACITY</v>
      </c>
      <c r="C11" s="43" t="e">
        <f>HVAC!$E9*12000/1000*VLOOKUP(Input_HVACBldgType,Table_EFLH,2,FALSE)*(1/VLOOKUP(HVAC!$D9,Table_RTUFactors,3,FALSE)-1/HVAC!$G9)</f>
        <v>#N/A</v>
      </c>
      <c r="D11" s="43" t="e">
        <f>HVAC!$E9*12000/1000*VLOOKUP(Input_HVACBldgType,Table_EFLH,3,FALSE)*(1/VLOOKUP(HVAC!$D9,Table_RTUFactors,4,FALSE)-1/HVAC!$H9)</f>
        <v>#N/A</v>
      </c>
      <c r="E11" s="52" t="e">
        <f t="shared" si="3"/>
        <v>#N/A</v>
      </c>
      <c r="F11" s="44" t="e">
        <f>HVAC!$E9*12000/1000*(1/VLOOKUP(HVAC!$D9,Table_RTUFactors,2,FALSE)-1/HVAC!$F9)*VLOOKUP(Input_HVACBldgType,Table_EFLH,4,FALSE)</f>
        <v>#DIV/0!</v>
      </c>
      <c r="H11" s="238" t="s">
        <v>437</v>
      </c>
      <c r="I11" s="238" t="s">
        <v>438</v>
      </c>
      <c r="J11" s="238" t="s">
        <v>439</v>
      </c>
      <c r="N11" s="42" t="str">
        <f t="shared" si="2"/>
        <v>Commercial Dishwasher - ENERGY STAR - Stationary Single Tank DoorLow TempElectric/No Booster</v>
      </c>
      <c r="O11" s="42" t="s">
        <v>91</v>
      </c>
      <c r="P11" s="42" t="s">
        <v>92</v>
      </c>
      <c r="Q11" s="42" t="s">
        <v>93</v>
      </c>
      <c r="R11" s="47">
        <v>16411</v>
      </c>
      <c r="S11" s="42">
        <v>2.1</v>
      </c>
      <c r="Y11" s="50"/>
      <c r="Z11" s="51" t="s">
        <v>144</v>
      </c>
      <c r="AA11" s="50">
        <v>250</v>
      </c>
      <c r="AB11" s="50" t="s">
        <v>429</v>
      </c>
      <c r="AC11" s="50"/>
      <c r="AD11" s="41"/>
    </row>
    <row r="12" spans="2:30" x14ac:dyDescent="0.2">
      <c r="B12" s="42" t="str">
        <f>HVAC!$D10</f>
        <v>SELECT HEAT PUMP UNIT MEASURE FROM DROPDOWN BASED ON PROPOSED EQUIPMENT CAPACITY</v>
      </c>
      <c r="C12" s="43" t="e">
        <f>HVAC!$E10*12000/1000*VLOOKUP(Input_HVACBldgType,Table_EFLH,2,FALSE)*(1/VLOOKUP(HVAC!$D10,Table_RTUFactors,3,FALSE)-1/HVAC!$G10)</f>
        <v>#N/A</v>
      </c>
      <c r="D12" s="43" t="e">
        <f>HVAC!$E10*12000/1000*VLOOKUP(Input_HVACBldgType,Table_EFLH,3,FALSE)*(1/VLOOKUP(HVAC!$D10,Table_RTUFactors,4,FALSE)-1/HVAC!$H10)</f>
        <v>#N/A</v>
      </c>
      <c r="E12" s="52" t="e">
        <f t="shared" si="3"/>
        <v>#N/A</v>
      </c>
      <c r="F12" s="44" t="e">
        <f>HVAC!$E10*12000/1000*(1/VLOOKUP(HVAC!$D10,Table_RTUFactors,2,FALSE)-1/HVAC!$F10)*VLOOKUP(Input_HVACBldgType,Table_EFLH,4,FALSE)</f>
        <v>#DIV/0!</v>
      </c>
      <c r="H12" s="42" t="s">
        <v>128</v>
      </c>
      <c r="I12" s="42">
        <v>259</v>
      </c>
      <c r="J12" s="42">
        <v>6.0000000000000001E-3</v>
      </c>
      <c r="N12" s="42" t="str">
        <f t="shared" si="2"/>
        <v>Commercial Dishwasher - ENERGY STAR - Stationary Single Tank DoorLow TempGas/No Booster</v>
      </c>
      <c r="O12" s="42" t="s">
        <v>91</v>
      </c>
      <c r="P12" s="42" t="s">
        <v>92</v>
      </c>
      <c r="Q12" s="42" t="s">
        <v>98</v>
      </c>
      <c r="R12" s="47">
        <v>0</v>
      </c>
      <c r="S12" s="42">
        <v>0</v>
      </c>
      <c r="Y12" s="50"/>
      <c r="Z12" s="51" t="s">
        <v>149</v>
      </c>
      <c r="AA12" s="50">
        <v>200</v>
      </c>
      <c r="AB12" s="50" t="s">
        <v>429</v>
      </c>
      <c r="AC12" s="50"/>
      <c r="AD12" s="41"/>
    </row>
    <row r="13" spans="2:30" x14ac:dyDescent="0.2">
      <c r="H13" s="42" t="s">
        <v>83</v>
      </c>
      <c r="I13" s="42">
        <v>248</v>
      </c>
      <c r="J13" s="42">
        <v>4.5999999999999999E-3</v>
      </c>
      <c r="N13" s="42" t="str">
        <f t="shared" si="2"/>
        <v>Commercial Dishwasher - ENERGY STAR - Pots, Pans and UtensilsHigh TempElectric/Electric</v>
      </c>
      <c r="O13" s="42" t="s">
        <v>94</v>
      </c>
      <c r="P13" s="42" t="s">
        <v>89</v>
      </c>
      <c r="Q13" s="42" t="s">
        <v>90</v>
      </c>
      <c r="R13" s="47">
        <v>3364</v>
      </c>
      <c r="S13" s="42">
        <v>0.4</v>
      </c>
      <c r="Y13" s="40" t="s">
        <v>440</v>
      </c>
      <c r="Z13" s="40" t="s">
        <v>441</v>
      </c>
      <c r="AA13" s="53">
        <v>105</v>
      </c>
      <c r="AB13" s="50" t="s">
        <v>442</v>
      </c>
      <c r="AC13" s="54">
        <f>AVERAGE(R5:R7)</f>
        <v>1350.3333333333333</v>
      </c>
      <c r="AD13" s="55"/>
    </row>
    <row r="14" spans="2:30" x14ac:dyDescent="0.2">
      <c r="B14" s="237" t="s">
        <v>51</v>
      </c>
      <c r="C14" s="238" t="s">
        <v>409</v>
      </c>
      <c r="D14" s="238" t="s">
        <v>410</v>
      </c>
      <c r="H14" s="42" t="s">
        <v>443</v>
      </c>
      <c r="I14" s="42">
        <f>AVERAGE(I12:I13)</f>
        <v>253.5</v>
      </c>
      <c r="J14" s="42">
        <f>AVERAGE(J12:J13)</f>
        <v>5.3E-3</v>
      </c>
      <c r="N14" s="42" t="str">
        <f t="shared" si="2"/>
        <v>Commercial Dishwasher - ENERGY STAR - Pots, Pans and UtensilsHigh TempGas/Electric</v>
      </c>
      <c r="O14" s="42" t="s">
        <v>94</v>
      </c>
      <c r="P14" s="42" t="s">
        <v>89</v>
      </c>
      <c r="Q14" s="42" t="s">
        <v>96</v>
      </c>
      <c r="R14" s="47">
        <v>1223</v>
      </c>
      <c r="S14" s="42">
        <v>0.2</v>
      </c>
      <c r="Y14" s="40" t="s">
        <v>444</v>
      </c>
      <c r="Z14" s="40" t="s">
        <v>445</v>
      </c>
      <c r="AA14" s="56">
        <f>AVERAGE(AA15:AA17)</f>
        <v>72.996997574915099</v>
      </c>
      <c r="AB14" s="50"/>
      <c r="AC14" s="50" t="s">
        <v>446</v>
      </c>
      <c r="AD14" s="41"/>
    </row>
    <row r="15" spans="2:30" x14ac:dyDescent="0.2">
      <c r="B15" s="364" t="str">
        <f>HVAC!$D12</f>
        <v>SELECT CHILLER UNIT MEASURE FROM DROPDOWN BASED ON PROPOSED EQUIPMENT TYPE AND CAPACITY</v>
      </c>
      <c r="C15" s="47" t="e">
        <f>HVAC!$E12*VLOOKUP(Input_HVACBldgType,Table_EFLH,2,FALSE)*(VLOOKUP($B15,Table_ChillerFactors,3,FALSE)-HVAC!$G12)</f>
        <v>#N/A</v>
      </c>
      <c r="D15" s="58" t="e">
        <f>HVAC!$E12*(VLOOKUP($B15,Table_ChillerFactors,2,FALSE)-HVAC!$F12)*VLOOKUP(Input_HVACBldgType,Table_EFLH,4,FALSE)</f>
        <v>#N/A</v>
      </c>
      <c r="N15" s="42" t="str">
        <f t="shared" si="2"/>
        <v>Commercial Dishwasher - ENERGY STAR - Pots, Pans and UtensilsHigh TempGas/Gas</v>
      </c>
      <c r="O15" s="42" t="s">
        <v>94</v>
      </c>
      <c r="P15" s="42" t="s">
        <v>89</v>
      </c>
      <c r="Q15" s="42" t="s">
        <v>132</v>
      </c>
      <c r="R15" s="47">
        <v>0</v>
      </c>
      <c r="S15" s="42">
        <v>0</v>
      </c>
      <c r="Y15" s="50"/>
      <c r="Z15" s="51" t="s">
        <v>447</v>
      </c>
      <c r="AA15" s="57">
        <v>74.8192631219558</v>
      </c>
      <c r="AB15" s="50" t="s">
        <v>442</v>
      </c>
      <c r="AC15" s="50"/>
      <c r="AD15" s="41"/>
    </row>
    <row r="16" spans="2:30" x14ac:dyDescent="0.2">
      <c r="B16" s="364" t="str">
        <f>HVAC!$D13</f>
        <v>SELECT CHILLER UNIT MEASURE FROM DROPDOWN BASED ON PROPOSED EQUIPMENT TYPE AND CAPACITY</v>
      </c>
      <c r="C16" s="47" t="e">
        <f>HVAC!$E13*VLOOKUP(Input_HVACBldgType,Table_EFLH,2,FALSE)*(VLOOKUP($B16,Table_ChillerFactors,3,FALSE)-HVAC!$G13)</f>
        <v>#N/A</v>
      </c>
      <c r="D16" s="58" t="e">
        <f>HVAC!$E13*(VLOOKUP($B16,Table_ChillerFactors,2,FALSE)-HVAC!$F13)*VLOOKUP(Input_HVACBldgType,Table_EFLH,4,FALSE)</f>
        <v>#N/A</v>
      </c>
      <c r="N16" s="42" t="str">
        <f t="shared" si="2"/>
        <v>Commercial Dishwasher - ENERGY STAR - Single Tank ConveyorHigh TempElectric/Electric</v>
      </c>
      <c r="O16" s="42" t="s">
        <v>95</v>
      </c>
      <c r="P16" s="42" t="s">
        <v>89</v>
      </c>
      <c r="Q16" s="42" t="s">
        <v>90</v>
      </c>
      <c r="R16" s="47">
        <v>9319</v>
      </c>
      <c r="S16" s="42">
        <v>1.2</v>
      </c>
      <c r="Y16" s="50"/>
      <c r="Z16" s="51" t="s">
        <v>448</v>
      </c>
      <c r="AA16" s="57">
        <v>72.834422484604943</v>
      </c>
      <c r="AB16" s="50" t="s">
        <v>442</v>
      </c>
      <c r="AC16" s="50"/>
      <c r="AD16" s="41"/>
    </row>
    <row r="17" spans="2:30" x14ac:dyDescent="0.2">
      <c r="B17" s="364" t="str">
        <f>HVAC!$D14</f>
        <v>SELECT CHILLER UNIT MEASURE FROM DROPDOWN BASED ON PROPOSED EQUIPMENT TYPE AND CAPACITY</v>
      </c>
      <c r="C17" s="47" t="e">
        <f>HVAC!$E14*VLOOKUP(Input_HVACBldgType,Table_EFLH,2,FALSE)*(VLOOKUP($B17,Table_ChillerFactors,3,FALSE)-HVAC!$G14)</f>
        <v>#N/A</v>
      </c>
      <c r="D17" s="58" t="e">
        <f>HVAC!$E14*(VLOOKUP($B17,Table_ChillerFactors,2,FALSE)-HVAC!$F14)*VLOOKUP(Input_HVACBldgType,Table_EFLH,4,FALSE)</f>
        <v>#N/A</v>
      </c>
      <c r="H17" s="238" t="s">
        <v>449</v>
      </c>
      <c r="I17" s="238" t="s">
        <v>113</v>
      </c>
      <c r="J17" s="238" t="s">
        <v>450</v>
      </c>
      <c r="K17" s="238" t="s">
        <v>412</v>
      </c>
      <c r="L17" s="238" t="s">
        <v>413</v>
      </c>
      <c r="N17" s="42" t="str">
        <f t="shared" si="2"/>
        <v>Commercial Dishwasher - ENERGY STAR - Single Tank ConveyorHigh TempGas/Electric</v>
      </c>
      <c r="O17" s="42" t="s">
        <v>95</v>
      </c>
      <c r="P17" s="42" t="s">
        <v>89</v>
      </c>
      <c r="Q17" s="42" t="s">
        <v>96</v>
      </c>
      <c r="R17" s="47">
        <v>4987</v>
      </c>
      <c r="S17" s="42">
        <v>0.6</v>
      </c>
      <c r="Y17" s="50"/>
      <c r="Z17" s="51" t="s">
        <v>451</v>
      </c>
      <c r="AA17" s="57">
        <v>71.33730711818454</v>
      </c>
      <c r="AB17" s="50" t="s">
        <v>442</v>
      </c>
      <c r="AC17" s="50"/>
      <c r="AD17" s="41"/>
    </row>
    <row r="18" spans="2:30" x14ac:dyDescent="0.2">
      <c r="B18" s="364" t="str">
        <f>HVAC!$D15</f>
        <v>SELECT CHILLER UNIT MEASURE FROM DROPDOWN BASED ON PROPOSED EQUIPMENT TYPE AND CAPACITY</v>
      </c>
      <c r="C18" s="47" t="e">
        <f>HVAC!$E15*VLOOKUP(Input_HVACBldgType,Table_EFLH,2,FALSE)*(VLOOKUP($B18,Table_ChillerFactors,3,FALSE)-HVAC!$G15)</f>
        <v>#N/A</v>
      </c>
      <c r="D18" s="58" t="e">
        <f>HVAC!$E15*(VLOOKUP($B18,Table_ChillerFactors,2,FALSE)-HVAC!$F15)*VLOOKUP(Input_HVACBldgType,Table_EFLH,4,FALSE)</f>
        <v>#N/A</v>
      </c>
      <c r="H18" s="42" t="str">
        <f>_xlfn.CONCAT(I18,J18)</f>
        <v>Refrigerator0 - 15 cu. ft.</v>
      </c>
      <c r="I18" s="42" t="s">
        <v>86</v>
      </c>
      <c r="J18" s="42" t="s">
        <v>196</v>
      </c>
      <c r="K18" s="42">
        <v>290</v>
      </c>
      <c r="L18" s="42">
        <v>0.03</v>
      </c>
      <c r="N18" s="42" t="str">
        <f t="shared" si="2"/>
        <v>Commercial Dishwasher - ENERGY STAR - Single Tank ConveyorHigh TempGas/Gas</v>
      </c>
      <c r="O18" s="42" t="s">
        <v>95</v>
      </c>
      <c r="P18" s="42" t="s">
        <v>89</v>
      </c>
      <c r="Q18" s="42" t="s">
        <v>132</v>
      </c>
      <c r="R18" s="47">
        <v>2511</v>
      </c>
      <c r="S18" s="42">
        <v>0.3</v>
      </c>
      <c r="Y18" s="50"/>
      <c r="Z18" s="51" t="s">
        <v>452</v>
      </c>
      <c r="AA18" s="57">
        <v>70.467920315391083</v>
      </c>
      <c r="AB18" s="50" t="s">
        <v>442</v>
      </c>
      <c r="AC18" s="50"/>
      <c r="AD18" s="41"/>
    </row>
    <row r="19" spans="2:30" x14ac:dyDescent="0.2">
      <c r="B19" s="364" t="str">
        <f>HVAC!$D16</f>
        <v>SELECT CHILLER UNIT MEASURE FROM DROPDOWN BASED ON PROPOSED EQUIPMENT TYPE AND CAPACITY</v>
      </c>
      <c r="C19" s="47" t="e">
        <f>HVAC!$E16*VLOOKUP(Input_HVACBldgType,Table_EFLH,2,FALSE)*(VLOOKUP($B19,Table_ChillerFactors,3,FALSE)-HVAC!$G16)</f>
        <v>#N/A</v>
      </c>
      <c r="D19" s="58" t="e">
        <f>HVAC!$E16*(VLOOKUP($B19,Table_ChillerFactors,2,FALSE)-HVAC!$F16)*VLOOKUP(Input_HVACBldgType,Table_EFLH,4,FALSE)</f>
        <v>#N/A</v>
      </c>
      <c r="H19" s="42" t="str">
        <f t="shared" ref="H19:H25" si="4">_xlfn.CONCAT(I19,J19)</f>
        <v>Refrigerator15 - 30 cu. ft</v>
      </c>
      <c r="I19" s="42" t="s">
        <v>86</v>
      </c>
      <c r="J19" s="42" t="s">
        <v>87</v>
      </c>
      <c r="K19" s="42">
        <v>631</v>
      </c>
      <c r="L19" s="42">
        <v>7.0000000000000007E-2</v>
      </c>
      <c r="N19" s="42" t="str">
        <f t="shared" si="2"/>
        <v>Commercial Dishwasher - ENERGY STAR - Single Tank ConveyorLow TempElectric/No Booster</v>
      </c>
      <c r="O19" s="42" t="s">
        <v>95</v>
      </c>
      <c r="P19" s="42" t="s">
        <v>92</v>
      </c>
      <c r="Q19" s="42" t="s">
        <v>93</v>
      </c>
      <c r="R19" s="47">
        <v>13835</v>
      </c>
      <c r="S19" s="42">
        <v>1.8</v>
      </c>
      <c r="Y19" s="40" t="s">
        <v>453</v>
      </c>
      <c r="Z19" s="40" t="s">
        <v>454</v>
      </c>
      <c r="AA19" s="53">
        <f>AVERAGE(AA20:AA26)</f>
        <v>18.428571428571427</v>
      </c>
      <c r="AB19" s="50"/>
      <c r="AC19" s="50" t="s">
        <v>430</v>
      </c>
      <c r="AD19" s="41"/>
    </row>
    <row r="20" spans="2:30" x14ac:dyDescent="0.2">
      <c r="B20" s="364" t="str">
        <f>HVAC!$D17</f>
        <v>SELECT CHILLER UNIT MEASURE FROM DROPDOWN BASED ON PROPOSED EQUIPMENT TYPE AND CAPACITY</v>
      </c>
      <c r="C20" s="47" t="e">
        <f>HVAC!$E17*VLOOKUP(Input_HVACBldgType,Table_EFLH,2,FALSE)*(VLOOKUP($B20,Table_ChillerFactors,3,FALSE)-HVAC!$G17)</f>
        <v>#N/A</v>
      </c>
      <c r="D20" s="58" t="e">
        <f>HVAC!$E17*(VLOOKUP($B20,Table_ChillerFactors,2,FALSE)-HVAC!$F17)*VLOOKUP(Input_HVACBldgType,Table_EFLH,4,FALSE)</f>
        <v>#N/A</v>
      </c>
      <c r="H20" s="42" t="str">
        <f t="shared" si="4"/>
        <v>Refrigerator30 - 50 cu. ft.</v>
      </c>
      <c r="I20" s="42" t="s">
        <v>86</v>
      </c>
      <c r="J20" s="42" t="s">
        <v>202</v>
      </c>
      <c r="K20" s="42">
        <v>951</v>
      </c>
      <c r="L20" s="42">
        <v>0.11</v>
      </c>
      <c r="N20" s="42" t="str">
        <f t="shared" si="2"/>
        <v>Commercial Dishwasher - ENERGY STAR - Single Tank ConveyorLow TempGas/No Booster</v>
      </c>
      <c r="O20" s="42" t="s">
        <v>95</v>
      </c>
      <c r="P20" s="42" t="s">
        <v>92</v>
      </c>
      <c r="Q20" s="42" t="s">
        <v>98</v>
      </c>
      <c r="R20" s="47">
        <v>0</v>
      </c>
      <c r="S20" s="42">
        <v>0</v>
      </c>
      <c r="Y20" s="50"/>
      <c r="Z20" s="51" t="s">
        <v>76</v>
      </c>
      <c r="AA20" s="50">
        <v>30</v>
      </c>
      <c r="AB20" s="50" t="s">
        <v>455</v>
      </c>
      <c r="AC20" s="50"/>
      <c r="AD20" s="41"/>
    </row>
    <row r="21" spans="2:30" x14ac:dyDescent="0.2">
      <c r="B21" s="364" t="str">
        <f>HVAC!$D18</f>
        <v>SELECT CHILLER UNIT MEASURE FROM DROPDOWN BASED ON PROPOSED EQUIPMENT TYPE AND CAPACITY</v>
      </c>
      <c r="C21" s="47" t="e">
        <f>HVAC!$E18*VLOOKUP(Input_HVACBldgType,Table_EFLH,2,FALSE)*(VLOOKUP($B21,Table_ChillerFactors,3,FALSE)-HVAC!$G18)</f>
        <v>#N/A</v>
      </c>
      <c r="D21" s="58" t="e">
        <f>HVAC!$E18*(VLOOKUP($B21,Table_ChillerFactors,2,FALSE)-HVAC!$F18)*VLOOKUP(Input_HVACBldgType,Table_EFLH,4,FALSE)</f>
        <v>#N/A</v>
      </c>
      <c r="H21" s="42" t="str">
        <f t="shared" si="4"/>
        <v>Refrigerator≥ 50 cu. ft.</v>
      </c>
      <c r="I21" s="42" t="s">
        <v>86</v>
      </c>
      <c r="J21" s="42" t="s">
        <v>456</v>
      </c>
      <c r="K21" s="42">
        <v>1250</v>
      </c>
      <c r="L21" s="42">
        <v>0.14000000000000001</v>
      </c>
      <c r="N21" s="42" t="str">
        <f t="shared" si="2"/>
        <v>Commercial Dishwasher - ENERGY STAR - Multiple Tank ConveyorHigh TempElectric/Electric</v>
      </c>
      <c r="O21" s="42" t="s">
        <v>97</v>
      </c>
      <c r="P21" s="42" t="s">
        <v>89</v>
      </c>
      <c r="Q21" s="42" t="s">
        <v>90</v>
      </c>
      <c r="R21" s="47">
        <v>27815</v>
      </c>
      <c r="S21" s="42">
        <v>3.6</v>
      </c>
      <c r="Y21" s="50"/>
      <c r="Z21" s="51" t="s">
        <v>129</v>
      </c>
      <c r="AA21" s="50">
        <v>3</v>
      </c>
      <c r="AB21" s="50" t="s">
        <v>455</v>
      </c>
      <c r="AC21" s="50"/>
      <c r="AD21" s="41"/>
    </row>
    <row r="22" spans="2:30" x14ac:dyDescent="0.2">
      <c r="B22" s="364" t="str">
        <f>HVAC!$D19</f>
        <v>SELECT CHILLER UNIT MEASURE FROM DROPDOWN BASED ON PROPOSED EQUIPMENT TYPE AND CAPACITY</v>
      </c>
      <c r="C22" s="47" t="e">
        <f>HVAC!$E19*VLOOKUP(Input_HVACBldgType,Table_EFLH,2,FALSE)*(VLOOKUP($B22,Table_ChillerFactors,3,FALSE)-HVAC!$G19)</f>
        <v>#N/A</v>
      </c>
      <c r="D22" s="58" t="e">
        <f>HVAC!$E19*(VLOOKUP($B22,Table_ChillerFactors,2,FALSE)-HVAC!$F19)*VLOOKUP(Input_HVACBldgType,Table_EFLH,4,FALSE)</f>
        <v>#N/A</v>
      </c>
      <c r="H22" s="42" t="str">
        <f t="shared" si="4"/>
        <v>Freezer0 - 15 cu. ft.</v>
      </c>
      <c r="I22" s="42" t="s">
        <v>220</v>
      </c>
      <c r="J22" s="42" t="s">
        <v>196</v>
      </c>
      <c r="K22" s="42">
        <v>869</v>
      </c>
      <c r="L22" s="42">
        <v>0.1</v>
      </c>
      <c r="N22" s="42" t="str">
        <f t="shared" si="2"/>
        <v>Commercial Dishwasher - ENERGY STAR - Multiple Tank ConveyorHigh TempGas/Electric</v>
      </c>
      <c r="O22" s="42" t="s">
        <v>97</v>
      </c>
      <c r="P22" s="42" t="s">
        <v>89</v>
      </c>
      <c r="Q22" s="42" t="s">
        <v>96</v>
      </c>
      <c r="R22" s="47">
        <v>11378</v>
      </c>
      <c r="S22" s="42">
        <v>1.5</v>
      </c>
      <c r="Y22" s="50"/>
      <c r="Z22" s="51" t="s">
        <v>133</v>
      </c>
      <c r="AA22" s="50">
        <v>30</v>
      </c>
      <c r="AB22" s="50" t="s">
        <v>455</v>
      </c>
      <c r="AC22" s="50"/>
      <c r="AD22" s="41"/>
    </row>
    <row r="23" spans="2:30" x14ac:dyDescent="0.2">
      <c r="B23" s="364" t="str">
        <f>HVAC!$D20</f>
        <v>SELECT CHILLER UNIT MEASURE FROM DROPDOWN BASED ON PROPOSED EQUIPMENT TYPE AND CAPACITY</v>
      </c>
      <c r="C23" s="47" t="e">
        <f>HVAC!$E20*VLOOKUP(Input_HVACBldgType,Table_EFLH,2,FALSE)*(VLOOKUP($B23,Table_ChillerFactors,3,FALSE)-HVAC!$G20)</f>
        <v>#N/A</v>
      </c>
      <c r="D23" s="58" t="e">
        <f>HVAC!$E20*(VLOOKUP($B23,Table_ChillerFactors,2,FALSE)-HVAC!$F20)*VLOOKUP(Input_HVACBldgType,Table_EFLH,4,FALSE)</f>
        <v>#N/A</v>
      </c>
      <c r="H23" s="42" t="str">
        <f t="shared" si="4"/>
        <v>Freezer15 - 30 cu. ft</v>
      </c>
      <c r="I23" s="42" t="s">
        <v>220</v>
      </c>
      <c r="J23" s="42" t="s">
        <v>87</v>
      </c>
      <c r="K23" s="42">
        <v>869</v>
      </c>
      <c r="L23" s="42">
        <v>0.1</v>
      </c>
      <c r="N23" s="42" t="str">
        <f t="shared" si="2"/>
        <v>Commercial Dishwasher - ENERGY STAR - Multiple Tank ConveyorHigh TempGas/Gas</v>
      </c>
      <c r="O23" s="42" t="s">
        <v>97</v>
      </c>
      <c r="P23" s="42" t="s">
        <v>89</v>
      </c>
      <c r="Q23" s="42" t="s">
        <v>132</v>
      </c>
      <c r="R23" s="47">
        <v>1986</v>
      </c>
      <c r="S23" s="42">
        <v>0.3</v>
      </c>
      <c r="Y23" s="50"/>
      <c r="Z23" s="51" t="s">
        <v>136</v>
      </c>
      <c r="AA23" s="50">
        <v>3</v>
      </c>
      <c r="AB23" s="50" t="s">
        <v>455</v>
      </c>
      <c r="AC23" s="50"/>
      <c r="AD23" s="41"/>
    </row>
    <row r="24" spans="2:30" x14ac:dyDescent="0.2">
      <c r="H24" s="42" t="str">
        <f t="shared" si="4"/>
        <v>Freezer30 - 50 cu. ft.</v>
      </c>
      <c r="I24" s="42" t="s">
        <v>220</v>
      </c>
      <c r="J24" s="42" t="s">
        <v>202</v>
      </c>
      <c r="K24" s="42">
        <v>2593</v>
      </c>
      <c r="L24" s="42">
        <v>0.3</v>
      </c>
      <c r="N24" s="42" t="str">
        <f t="shared" si="2"/>
        <v>Commercial Dishwasher - ENERGY STAR - Multiple Tank ConveyorLow TempElectric/No Booster</v>
      </c>
      <c r="O24" s="42" t="s">
        <v>97</v>
      </c>
      <c r="P24" s="42" t="s">
        <v>92</v>
      </c>
      <c r="Q24" s="42" t="s">
        <v>93</v>
      </c>
      <c r="R24" s="47">
        <v>19112</v>
      </c>
      <c r="S24" s="42">
        <v>2.4</v>
      </c>
      <c r="Y24" s="50"/>
      <c r="Z24" s="51" t="s">
        <v>78</v>
      </c>
      <c r="AA24" s="50">
        <v>3</v>
      </c>
      <c r="AB24" s="50" t="s">
        <v>455</v>
      </c>
      <c r="AC24" s="50"/>
      <c r="AD24" s="41"/>
    </row>
    <row r="25" spans="2:30" x14ac:dyDescent="0.2">
      <c r="B25" s="236" t="s">
        <v>457</v>
      </c>
      <c r="C25" s="238" t="s">
        <v>412</v>
      </c>
      <c r="D25" s="238" t="s">
        <v>413</v>
      </c>
      <c r="H25" s="42" t="str">
        <f t="shared" si="4"/>
        <v>Freezer≥ 50 cu. ft.</v>
      </c>
      <c r="I25" s="42" t="s">
        <v>220</v>
      </c>
      <c r="J25" s="42" t="s">
        <v>456</v>
      </c>
      <c r="K25" s="42">
        <v>4375</v>
      </c>
      <c r="L25" s="42">
        <v>0.5</v>
      </c>
      <c r="N25" s="42" t="str">
        <f t="shared" si="2"/>
        <v>Commercial Dishwasher - ENERGY STAR - Multiple Tank ConveyorLow TempGas/No Booster</v>
      </c>
      <c r="O25" s="42" t="s">
        <v>97</v>
      </c>
      <c r="P25" s="42" t="s">
        <v>92</v>
      </c>
      <c r="Q25" s="42" t="s">
        <v>98</v>
      </c>
      <c r="R25" s="47">
        <v>0</v>
      </c>
      <c r="S25" s="42">
        <v>0</v>
      </c>
      <c r="Y25" s="50"/>
      <c r="Z25" s="51" t="s">
        <v>144</v>
      </c>
      <c r="AA25" s="50">
        <v>30</v>
      </c>
      <c r="AB25" s="50" t="s">
        <v>455</v>
      </c>
      <c r="AC25" s="50"/>
      <c r="AD25" s="41"/>
    </row>
    <row r="26" spans="2:30" x14ac:dyDescent="0.2">
      <c r="B26" s="42" t="s">
        <v>71</v>
      </c>
      <c r="C26" s="45">
        <v>355.79297454545451</v>
      </c>
      <c r="D26" s="46">
        <v>6.7015800000000014E-2</v>
      </c>
      <c r="Y26" s="50"/>
      <c r="Z26" s="51" t="s">
        <v>149</v>
      </c>
      <c r="AA26" s="50">
        <v>30</v>
      </c>
      <c r="AB26" s="50" t="s">
        <v>455</v>
      </c>
      <c r="AC26" s="50"/>
      <c r="AD26" s="41"/>
    </row>
    <row r="27" spans="2:30" x14ac:dyDescent="0.2">
      <c r="Y27" s="40" t="s">
        <v>458</v>
      </c>
      <c r="Z27" s="40" t="s">
        <v>459</v>
      </c>
      <c r="AA27" s="49">
        <v>8.33</v>
      </c>
      <c r="AB27" s="50" t="s">
        <v>460</v>
      </c>
      <c r="AC27" s="50"/>
      <c r="AD27" s="41"/>
    </row>
    <row r="28" spans="2:30" x14ac:dyDescent="0.2">
      <c r="B28" s="236" t="s">
        <v>461</v>
      </c>
      <c r="C28" s="238" t="s">
        <v>412</v>
      </c>
      <c r="D28" s="238" t="s">
        <v>413</v>
      </c>
      <c r="N28" s="238" t="s">
        <v>462</v>
      </c>
      <c r="O28" s="238" t="s">
        <v>412</v>
      </c>
      <c r="P28" s="238" t="s">
        <v>413</v>
      </c>
      <c r="Y28" s="40" t="s">
        <v>463</v>
      </c>
      <c r="Z28" s="40" t="s">
        <v>464</v>
      </c>
      <c r="AA28" s="49">
        <v>1</v>
      </c>
      <c r="AB28" s="50" t="s">
        <v>465</v>
      </c>
      <c r="AC28" s="50"/>
      <c r="AD28" s="41"/>
    </row>
    <row r="29" spans="2:30" x14ac:dyDescent="0.2">
      <c r="B29" s="42" t="s">
        <v>72</v>
      </c>
      <c r="C29" s="45">
        <v>590.20000000000005</v>
      </c>
      <c r="D29" s="46">
        <v>0.248</v>
      </c>
      <c r="N29" s="42" t="s">
        <v>102</v>
      </c>
      <c r="O29" s="47">
        <v>2485</v>
      </c>
      <c r="P29" s="42">
        <v>0.47699999999999998</v>
      </c>
      <c r="Y29" s="40" t="s">
        <v>466</v>
      </c>
      <c r="Z29" s="59" t="s">
        <v>467</v>
      </c>
      <c r="AA29" s="49">
        <f>AA30</f>
        <v>0.98</v>
      </c>
      <c r="AB29" s="50"/>
      <c r="AC29" s="50" t="s">
        <v>468</v>
      </c>
      <c r="AD29" s="41"/>
    </row>
    <row r="30" spans="2:30" x14ac:dyDescent="0.2">
      <c r="N30" s="42" t="s">
        <v>148</v>
      </c>
      <c r="O30" s="47">
        <v>2787</v>
      </c>
      <c r="P30" s="42">
        <v>0.53400000000000003</v>
      </c>
      <c r="Y30" s="50"/>
      <c r="Z30" s="51" t="s">
        <v>469</v>
      </c>
      <c r="AA30" s="50">
        <v>0.98</v>
      </c>
      <c r="AB30" s="50"/>
      <c r="AC30" s="50"/>
      <c r="AD30" s="41"/>
    </row>
    <row r="31" spans="2:30" x14ac:dyDescent="0.2">
      <c r="Y31" s="50"/>
      <c r="Z31" s="51" t="s">
        <v>470</v>
      </c>
      <c r="AA31" s="50">
        <v>2.2000000000000002</v>
      </c>
      <c r="AB31" s="50"/>
      <c r="AC31" s="50" t="s">
        <v>471</v>
      </c>
      <c r="AD31" s="41"/>
    </row>
    <row r="32" spans="2:30" ht="38.25" x14ac:dyDescent="0.2">
      <c r="Y32" s="40" t="s">
        <v>472</v>
      </c>
      <c r="Z32" s="60" t="s">
        <v>473</v>
      </c>
      <c r="AA32" s="61">
        <f>AVERAGE(AA33:AA39)</f>
        <v>4.1428571428571426E-2</v>
      </c>
      <c r="AB32" s="50"/>
      <c r="AC32" s="50" t="s">
        <v>430</v>
      </c>
      <c r="AD32" s="41"/>
    </row>
    <row r="33" spans="14:30" x14ac:dyDescent="0.2">
      <c r="N33" s="238" t="s">
        <v>474</v>
      </c>
      <c r="O33" s="238" t="s">
        <v>412</v>
      </c>
      <c r="P33" s="238" t="s">
        <v>413</v>
      </c>
      <c r="Y33" s="50"/>
      <c r="Z33" s="51" t="s">
        <v>76</v>
      </c>
      <c r="AA33" s="50">
        <v>0.04</v>
      </c>
      <c r="AB33" s="50"/>
      <c r="AC33" s="50"/>
      <c r="AD33" s="41"/>
    </row>
    <row r="34" spans="14:30" x14ac:dyDescent="0.2">
      <c r="N34" s="62" t="s">
        <v>103</v>
      </c>
      <c r="O34" s="47">
        <v>14397.5</v>
      </c>
      <c r="P34" s="42">
        <v>2.7850000000000001</v>
      </c>
      <c r="Y34" s="50"/>
      <c r="Z34" s="51" t="s">
        <v>129</v>
      </c>
      <c r="AA34" s="50">
        <v>0.03</v>
      </c>
      <c r="AB34" s="50"/>
      <c r="AC34" s="50"/>
      <c r="AD34" s="41"/>
    </row>
    <row r="35" spans="14:30" x14ac:dyDescent="0.2">
      <c r="N35" s="62" t="s">
        <v>104</v>
      </c>
      <c r="O35" s="47">
        <v>19220</v>
      </c>
      <c r="P35" s="42">
        <v>3.69</v>
      </c>
      <c r="Y35" s="50"/>
      <c r="Z35" s="51" t="s">
        <v>133</v>
      </c>
      <c r="AA35" s="50">
        <v>0.04</v>
      </c>
      <c r="AB35" s="50"/>
      <c r="AC35" s="50"/>
      <c r="AD35" s="41"/>
    </row>
    <row r="36" spans="14:30" x14ac:dyDescent="0.2">
      <c r="Y36" s="50"/>
      <c r="Z36" s="51" t="s">
        <v>136</v>
      </c>
      <c r="AA36" s="50">
        <v>0.03</v>
      </c>
      <c r="AB36" s="50"/>
      <c r="AC36" s="50"/>
      <c r="AD36" s="41"/>
    </row>
    <row r="37" spans="14:30" x14ac:dyDescent="0.2">
      <c r="N37" s="238" t="s">
        <v>475</v>
      </c>
      <c r="O37" s="238" t="s">
        <v>412</v>
      </c>
      <c r="P37" s="238" t="s">
        <v>413</v>
      </c>
      <c r="Y37" s="50"/>
      <c r="Z37" s="51" t="s">
        <v>78</v>
      </c>
      <c r="AA37" s="50">
        <v>0.02</v>
      </c>
      <c r="AB37" s="50"/>
      <c r="AC37" s="50"/>
      <c r="AD37" s="41"/>
    </row>
    <row r="38" spans="14:30" x14ac:dyDescent="0.2">
      <c r="N38" s="42" t="s">
        <v>476</v>
      </c>
      <c r="O38" s="47">
        <v>28214</v>
      </c>
      <c r="P38" s="42">
        <v>5.4</v>
      </c>
      <c r="Y38" s="50"/>
      <c r="Z38" s="51" t="s">
        <v>144</v>
      </c>
      <c r="AA38" s="50">
        <v>0.08</v>
      </c>
      <c r="AB38" s="50"/>
      <c r="AC38" s="50"/>
      <c r="AD38" s="41"/>
    </row>
    <row r="39" spans="14:30" x14ac:dyDescent="0.2">
      <c r="N39" s="42" t="s">
        <v>100</v>
      </c>
      <c r="O39" s="47">
        <v>38081</v>
      </c>
      <c r="P39" s="42">
        <v>7.3</v>
      </c>
      <c r="Y39" s="50"/>
      <c r="Z39" s="51" t="s">
        <v>149</v>
      </c>
      <c r="AA39" s="50">
        <v>0.05</v>
      </c>
      <c r="AB39" s="50"/>
      <c r="AC39" s="50"/>
      <c r="AD39" s="41"/>
    </row>
    <row r="40" spans="14:30" x14ac:dyDescent="0.2">
      <c r="N40" s="42" t="s">
        <v>477</v>
      </c>
      <c r="O40" s="47">
        <v>47948</v>
      </c>
      <c r="P40" s="42">
        <v>9.1999999999999993</v>
      </c>
    </row>
    <row r="41" spans="14:30" x14ac:dyDescent="0.2">
      <c r="N41" s="42" t="s">
        <v>478</v>
      </c>
      <c r="O41" s="47">
        <v>57815</v>
      </c>
      <c r="P41" s="42">
        <v>11.1</v>
      </c>
    </row>
    <row r="43" spans="14:30" x14ac:dyDescent="0.2">
      <c r="U43" s="39" t="s">
        <v>479</v>
      </c>
      <c r="V43" s="39" t="s">
        <v>412</v>
      </c>
      <c r="W43" s="39" t="s">
        <v>413</v>
      </c>
      <c r="Y43" s="40" t="s">
        <v>418</v>
      </c>
      <c r="Z43" s="40" t="s">
        <v>419</v>
      </c>
      <c r="AA43" s="40" t="s">
        <v>420</v>
      </c>
      <c r="AB43" s="40" t="s">
        <v>203</v>
      </c>
      <c r="AC43" s="40" t="s">
        <v>421</v>
      </c>
    </row>
    <row r="44" spans="14:30" x14ac:dyDescent="0.2">
      <c r="N44" s="39" t="s">
        <v>414</v>
      </c>
      <c r="O44" s="39" t="s">
        <v>412</v>
      </c>
      <c r="P44" s="39" t="s">
        <v>413</v>
      </c>
      <c r="U44" s="42" t="s">
        <v>166</v>
      </c>
      <c r="V44" s="48">
        <f>$AA$64*$AA$65*AA59*($AA$44-$AA$45)*($AA$52-$AA$53)*AA47/$AA$66/3412</f>
        <v>4327.3637224977647</v>
      </c>
      <c r="W44" s="44">
        <f>$AA$64*$AA$65*AA59*($AA$44-$AA$45)*($AA$52-$AA$53)*AA70/$AA$66/3412</f>
        <v>0.59278955102709108</v>
      </c>
      <c r="Y44" s="40" t="s">
        <v>422</v>
      </c>
      <c r="Z44" s="40" t="s">
        <v>423</v>
      </c>
      <c r="AA44" s="50">
        <v>2.25</v>
      </c>
      <c r="AB44" s="50" t="s">
        <v>424</v>
      </c>
      <c r="AC44" s="50"/>
      <c r="AD44" s="41"/>
    </row>
    <row r="45" spans="14:30" x14ac:dyDescent="0.2">
      <c r="N45" s="42" t="s">
        <v>480</v>
      </c>
      <c r="O45" s="47">
        <v>223</v>
      </c>
      <c r="P45" s="42">
        <v>0.03</v>
      </c>
      <c r="U45" s="42" t="s">
        <v>80</v>
      </c>
      <c r="V45" s="48">
        <f>$AA$64*$AA$65*AA60*($AA$44-$AA$45)*($AA$52-$AA$53)*AA48/$AA$66/3412</f>
        <v>10097.18201916145</v>
      </c>
      <c r="W45" s="44">
        <f>$AA$64*$AA$65*AA60*($AA$44-$AA$45)*($AA$52-$AA$53)*AA71/$AA$66/3412</f>
        <v>1.10654049525057</v>
      </c>
      <c r="Y45" s="40" t="s">
        <v>425</v>
      </c>
      <c r="Z45" s="40" t="s">
        <v>426</v>
      </c>
      <c r="AA45" s="63">
        <f>Other!$E$5</f>
        <v>0</v>
      </c>
      <c r="AB45" s="50" t="s">
        <v>424</v>
      </c>
      <c r="AC45" s="50"/>
      <c r="AD45" s="41"/>
    </row>
    <row r="46" spans="14:30" x14ac:dyDescent="0.2">
      <c r="N46" s="42" t="s">
        <v>106</v>
      </c>
      <c r="O46" s="47">
        <v>792</v>
      </c>
      <c r="P46" s="42">
        <v>0.09</v>
      </c>
      <c r="U46" s="42" t="s">
        <v>173</v>
      </c>
      <c r="V46" s="48">
        <f>$AA$64*$AA$65*AA61*($AA$44-$AA$45)*($AA$52-$AA$53)*AA49/$AA$66/3412</f>
        <v>15159.604784932806</v>
      </c>
      <c r="W46" s="44">
        <f>$AA$64*$AA$65*AA61*($AA$44-$AA$45)*($AA$52-$AA$53)*AA72/$AA$66/3412</f>
        <v>1.6598107428758551</v>
      </c>
      <c r="Y46" s="40" t="s">
        <v>427</v>
      </c>
      <c r="Z46" s="40" t="s">
        <v>428</v>
      </c>
      <c r="AA46" s="50">
        <v>346.8</v>
      </c>
      <c r="AB46" s="50" t="s">
        <v>429</v>
      </c>
      <c r="AC46" s="50" t="s">
        <v>430</v>
      </c>
      <c r="AD46" s="41"/>
    </row>
    <row r="47" spans="14:30" x14ac:dyDescent="0.2">
      <c r="N47" s="42" t="s">
        <v>481</v>
      </c>
      <c r="O47" s="47">
        <v>921</v>
      </c>
      <c r="P47" s="42">
        <v>0.11</v>
      </c>
      <c r="U47" s="42" t="s">
        <v>133</v>
      </c>
      <c r="V47" s="48">
        <f>$AA$64*$AA$65*AA62*($AA$44-$AA$45)*($AA$52-$AA$53)*AA50/$AA$66/3412</f>
        <v>20194.364038322899</v>
      </c>
      <c r="W47" s="44">
        <f>$AA$64*$AA$65*AA62*($AA$44-$AA$45)*($AA$52-$AA$53)*AA73/$AA$66/3412</f>
        <v>2.2130809905011399</v>
      </c>
      <c r="Y47" s="50"/>
      <c r="Z47" s="50" t="s">
        <v>166</v>
      </c>
      <c r="AA47" s="50">
        <v>365</v>
      </c>
      <c r="AB47" s="50" t="s">
        <v>429</v>
      </c>
      <c r="AC47" s="50"/>
      <c r="AD47" s="41"/>
    </row>
    <row r="48" spans="14:30" x14ac:dyDescent="0.2">
      <c r="N48" s="42" t="s">
        <v>482</v>
      </c>
      <c r="O48" s="47">
        <v>1037</v>
      </c>
      <c r="P48" s="42">
        <v>0.12</v>
      </c>
      <c r="U48" s="42" t="s">
        <v>182</v>
      </c>
      <c r="V48" s="48">
        <f>$AA$64*$AA$65*AA63*($AA$44-$AA$45)*($AA$52-$AA$53)*AA51/$AA$66/3412</f>
        <v>10097.18201916145</v>
      </c>
      <c r="W48" s="44">
        <f>$AA$64*$AA$65*AA63*($AA$44-$AA$45)*($AA$52-$AA$53)*AA74/$AA$66/3412</f>
        <v>1.3831756190632123</v>
      </c>
      <c r="Y48" s="50"/>
      <c r="Z48" s="50" t="s">
        <v>80</v>
      </c>
      <c r="AA48" s="50">
        <v>365</v>
      </c>
      <c r="AB48" s="50" t="s">
        <v>429</v>
      </c>
      <c r="AC48" s="50"/>
      <c r="AD48" s="41"/>
    </row>
    <row r="49" spans="14:30" x14ac:dyDescent="0.2">
      <c r="N49" s="42" t="s">
        <v>483</v>
      </c>
      <c r="O49" s="47">
        <v>303</v>
      </c>
      <c r="P49" s="42">
        <v>0.03</v>
      </c>
      <c r="U49" s="42" t="s">
        <v>152</v>
      </c>
      <c r="V49" s="48">
        <f>$AA$64*$AA$65*AA58*($AA$44-$AA$45)*($AA$52-$AA$53)*AA46/$AA$66/3412</f>
        <v>12334.764977771711</v>
      </c>
      <c r="W49" s="44">
        <f>$AA$64*$AA$65*AA58*($AA$44-$AA$45)*($AA$52-$AA$53)*AA69/$AA$66/3412</f>
        <v>1.4938296685882693</v>
      </c>
      <c r="Y49" s="50"/>
      <c r="Z49" s="50" t="s">
        <v>173</v>
      </c>
      <c r="AA49" s="50">
        <v>274</v>
      </c>
      <c r="AB49" s="50" t="s">
        <v>429</v>
      </c>
      <c r="AC49" s="50"/>
      <c r="AD49" s="41"/>
    </row>
    <row r="50" spans="14:30" x14ac:dyDescent="0.2">
      <c r="N50" s="42" t="s">
        <v>484</v>
      </c>
      <c r="O50" s="47">
        <v>118</v>
      </c>
      <c r="P50" s="42">
        <v>0.01</v>
      </c>
      <c r="Y50" s="50"/>
      <c r="Z50" s="50" t="s">
        <v>133</v>
      </c>
      <c r="AA50" s="50">
        <v>365</v>
      </c>
      <c r="AB50" s="50" t="s">
        <v>429</v>
      </c>
      <c r="AC50" s="50"/>
      <c r="AD50" s="41"/>
    </row>
    <row r="51" spans="14:30" x14ac:dyDescent="0.2">
      <c r="Y51" s="50"/>
      <c r="Z51" s="50" t="s">
        <v>182</v>
      </c>
      <c r="AA51" s="50">
        <v>365</v>
      </c>
      <c r="AB51" s="50" t="s">
        <v>429</v>
      </c>
      <c r="AC51" s="50"/>
      <c r="AD51" s="41"/>
    </row>
    <row r="52" spans="14:30" x14ac:dyDescent="0.2">
      <c r="Y52" s="40" t="s">
        <v>440</v>
      </c>
      <c r="Z52" s="40" t="s">
        <v>441</v>
      </c>
      <c r="AA52" s="50">
        <v>120</v>
      </c>
      <c r="AB52" s="50" t="s">
        <v>442</v>
      </c>
      <c r="AC52" s="50"/>
      <c r="AD52" s="41"/>
    </row>
    <row r="53" spans="14:30" x14ac:dyDescent="0.2">
      <c r="Y53" s="40" t="s">
        <v>444</v>
      </c>
      <c r="Z53" s="40" t="s">
        <v>445</v>
      </c>
      <c r="AA53" s="54">
        <v>72.996997574915099</v>
      </c>
      <c r="AB53" s="50"/>
      <c r="AC53" s="50" t="s">
        <v>485</v>
      </c>
      <c r="AD53" s="41"/>
    </row>
    <row r="54" spans="14:30" x14ac:dyDescent="0.2">
      <c r="Y54" s="50"/>
      <c r="Z54" s="50" t="s">
        <v>447</v>
      </c>
      <c r="AA54" s="54">
        <v>74.8192631219558</v>
      </c>
      <c r="AB54" s="50" t="s">
        <v>442</v>
      </c>
      <c r="AC54" s="50"/>
      <c r="AD54" s="41"/>
    </row>
    <row r="55" spans="14:30" x14ac:dyDescent="0.2">
      <c r="Y55" s="50"/>
      <c r="Z55" s="50" t="s">
        <v>448</v>
      </c>
      <c r="AA55" s="54">
        <v>72.834422484604943</v>
      </c>
      <c r="AB55" s="50" t="s">
        <v>442</v>
      </c>
      <c r="AC55" s="50"/>
      <c r="AD55" s="41"/>
    </row>
    <row r="56" spans="14:30" x14ac:dyDescent="0.2">
      <c r="Y56" s="50"/>
      <c r="Z56" s="50" t="s">
        <v>451</v>
      </c>
      <c r="AA56" s="54">
        <v>71.33730711818454</v>
      </c>
      <c r="AB56" s="50" t="s">
        <v>442</v>
      </c>
      <c r="AC56" s="50"/>
      <c r="AD56" s="41"/>
    </row>
    <row r="57" spans="14:30" x14ac:dyDescent="0.2">
      <c r="Y57" s="50"/>
      <c r="Z57" s="50" t="s">
        <v>452</v>
      </c>
      <c r="AA57" s="54">
        <v>70.467920315391083</v>
      </c>
      <c r="AB57" s="50" t="s">
        <v>442</v>
      </c>
      <c r="AC57" s="50"/>
      <c r="AD57" s="41"/>
    </row>
    <row r="58" spans="14:30" x14ac:dyDescent="0.2">
      <c r="Y58" s="40" t="s">
        <v>486</v>
      </c>
      <c r="Z58" s="40" t="s">
        <v>454</v>
      </c>
      <c r="AA58" s="50">
        <v>135</v>
      </c>
      <c r="AB58" s="50"/>
      <c r="AC58" s="50" t="s">
        <v>430</v>
      </c>
      <c r="AD58" s="41"/>
    </row>
    <row r="59" spans="14:30" x14ac:dyDescent="0.2">
      <c r="Y59" s="50"/>
      <c r="Z59" s="50" t="s">
        <v>166</v>
      </c>
      <c r="AA59" s="50">
        <v>45</v>
      </c>
      <c r="AB59" s="50" t="s">
        <v>455</v>
      </c>
      <c r="AC59" s="50"/>
      <c r="AD59" s="41"/>
    </row>
    <row r="60" spans="14:30" x14ac:dyDescent="0.2">
      <c r="Y60" s="50"/>
      <c r="Z60" s="50" t="s">
        <v>80</v>
      </c>
      <c r="AA60" s="50">
        <v>105</v>
      </c>
      <c r="AB60" s="50" t="s">
        <v>455</v>
      </c>
      <c r="AC60" s="50"/>
      <c r="AD60" s="41"/>
    </row>
    <row r="61" spans="14:30" x14ac:dyDescent="0.2">
      <c r="Y61" s="50"/>
      <c r="Z61" s="50" t="s">
        <v>173</v>
      </c>
      <c r="AA61" s="50">
        <v>210</v>
      </c>
      <c r="AB61" s="50" t="s">
        <v>455</v>
      </c>
      <c r="AC61" s="50"/>
      <c r="AD61" s="41"/>
    </row>
    <row r="62" spans="14:30" x14ac:dyDescent="0.2">
      <c r="Y62" s="50"/>
      <c r="Z62" s="50" t="s">
        <v>133</v>
      </c>
      <c r="AA62" s="50">
        <v>210</v>
      </c>
      <c r="AB62" s="50" t="s">
        <v>455</v>
      </c>
      <c r="AC62" s="50"/>
      <c r="AD62" s="41"/>
    </row>
    <row r="63" spans="14:30" x14ac:dyDescent="0.2">
      <c r="Y63" s="50"/>
      <c r="Z63" s="50" t="s">
        <v>182</v>
      </c>
      <c r="AA63" s="50">
        <v>105</v>
      </c>
      <c r="AB63" s="50" t="s">
        <v>455</v>
      </c>
      <c r="AC63" s="50"/>
      <c r="AD63" s="41"/>
    </row>
    <row r="64" spans="14:30" x14ac:dyDescent="0.2">
      <c r="Y64" s="40" t="s">
        <v>458</v>
      </c>
      <c r="Z64" s="40" t="s">
        <v>459</v>
      </c>
      <c r="AA64" s="50">
        <v>8.33</v>
      </c>
      <c r="AB64" s="50" t="s">
        <v>460</v>
      </c>
      <c r="AC64" s="50"/>
      <c r="AD64" s="41"/>
    </row>
    <row r="65" spans="21:30" x14ac:dyDescent="0.2">
      <c r="Y65" s="40" t="s">
        <v>463</v>
      </c>
      <c r="Z65" s="40" t="s">
        <v>464</v>
      </c>
      <c r="AA65" s="50">
        <v>1</v>
      </c>
      <c r="AB65" s="50" t="s">
        <v>465</v>
      </c>
      <c r="AC65" s="50"/>
      <c r="AD65" s="41"/>
    </row>
    <row r="66" spans="21:30" x14ac:dyDescent="0.2">
      <c r="Y66" s="40" t="s">
        <v>466</v>
      </c>
      <c r="Z66" s="40" t="s">
        <v>467</v>
      </c>
      <c r="AA66" s="50">
        <v>0.98</v>
      </c>
      <c r="AB66" s="50"/>
      <c r="AC66" s="50" t="s">
        <v>468</v>
      </c>
      <c r="AD66" s="41"/>
    </row>
    <row r="67" spans="21:30" x14ac:dyDescent="0.2">
      <c r="Y67" s="50"/>
      <c r="Z67" s="50" t="s">
        <v>469</v>
      </c>
      <c r="AA67" s="50">
        <v>0.98</v>
      </c>
      <c r="AB67" s="50"/>
      <c r="AC67" s="50"/>
      <c r="AD67" s="41"/>
    </row>
    <row r="68" spans="21:30" x14ac:dyDescent="0.2">
      <c r="Y68" s="50"/>
      <c r="Z68" s="50" t="s">
        <v>487</v>
      </c>
      <c r="AA68" s="50">
        <v>0.8</v>
      </c>
      <c r="AB68" s="50"/>
      <c r="AC68" s="50"/>
      <c r="AD68" s="41"/>
    </row>
    <row r="69" spans="21:30" x14ac:dyDescent="0.2">
      <c r="Y69" s="40" t="s">
        <v>472</v>
      </c>
      <c r="Z69" s="40" t="s">
        <v>473</v>
      </c>
      <c r="AA69" s="50">
        <v>4.2000000000000003E-2</v>
      </c>
      <c r="AB69" s="50"/>
      <c r="AC69" s="50" t="s">
        <v>430</v>
      </c>
      <c r="AD69" s="41"/>
    </row>
    <row r="70" spans="21:30" x14ac:dyDescent="0.2">
      <c r="Y70" s="50"/>
      <c r="Z70" s="50" t="s">
        <v>166</v>
      </c>
      <c r="AA70" s="50">
        <v>0.05</v>
      </c>
      <c r="AB70" s="50"/>
      <c r="AC70" s="50"/>
      <c r="AD70" s="41"/>
    </row>
    <row r="71" spans="21:30" x14ac:dyDescent="0.2">
      <c r="Y71" s="50"/>
      <c r="Z71" s="50" t="s">
        <v>80</v>
      </c>
      <c r="AA71" s="50">
        <v>0.04</v>
      </c>
      <c r="AB71" s="50"/>
      <c r="AC71" s="50"/>
      <c r="AD71" s="41"/>
    </row>
    <row r="72" spans="21:30" x14ac:dyDescent="0.2">
      <c r="Y72" s="50"/>
      <c r="Z72" s="50" t="s">
        <v>173</v>
      </c>
      <c r="AA72" s="50">
        <v>0.03</v>
      </c>
      <c r="AB72" s="50"/>
      <c r="AC72" s="50"/>
      <c r="AD72" s="41"/>
    </row>
    <row r="73" spans="21:30" x14ac:dyDescent="0.2">
      <c r="Y73" s="50"/>
      <c r="Z73" s="50" t="s">
        <v>133</v>
      </c>
      <c r="AA73" s="50">
        <v>0.04</v>
      </c>
      <c r="AB73" s="50"/>
      <c r="AC73" s="50"/>
      <c r="AD73" s="41"/>
    </row>
    <row r="74" spans="21:30" x14ac:dyDescent="0.2">
      <c r="Y74" s="50"/>
      <c r="Z74" s="50" t="s">
        <v>182</v>
      </c>
      <c r="AA74" s="50">
        <v>0.05</v>
      </c>
      <c r="AB74" s="50"/>
      <c r="AC74" s="50"/>
      <c r="AD74" s="41"/>
    </row>
    <row r="78" spans="21:30" x14ac:dyDescent="0.2">
      <c r="U78" s="39" t="s">
        <v>488</v>
      </c>
      <c r="V78" s="39" t="s">
        <v>412</v>
      </c>
      <c r="W78" s="39" t="s">
        <v>413</v>
      </c>
      <c r="Y78" s="40" t="s">
        <v>418</v>
      </c>
      <c r="Z78" s="40" t="s">
        <v>419</v>
      </c>
      <c r="AA78" s="40" t="s">
        <v>420</v>
      </c>
      <c r="AB78" s="40" t="s">
        <v>203</v>
      </c>
      <c r="AC78" s="40" t="s">
        <v>421</v>
      </c>
    </row>
    <row r="79" spans="21:30" x14ac:dyDescent="0.2">
      <c r="U79" s="64" t="s">
        <v>167</v>
      </c>
      <c r="V79" s="48">
        <f>$AA$93*$AA$94*(($AA$86-$AA$87)*$AA$79*AA81*$AA$88)*($AA$95-$AA$96)/$AA$101/3412*AA105</f>
        <v>495.33452376927249</v>
      </c>
      <c r="W79" s="44">
        <f>$AA$93*$AA$94*(($AA$86-$AA$87)*$AA$79*AA81*$AA$88)*($AA$95-$AA$96)/$AA$101/3412*AA111</f>
        <v>4.071242661117308E-2</v>
      </c>
      <c r="Y79" s="40" t="s">
        <v>453</v>
      </c>
      <c r="Z79" s="40" t="s">
        <v>489</v>
      </c>
      <c r="AA79" s="49">
        <v>7.8</v>
      </c>
      <c r="AB79" s="50" t="s">
        <v>490</v>
      </c>
      <c r="AC79" s="50"/>
      <c r="AD79" s="41"/>
    </row>
    <row r="80" spans="21:30" ht="25.5" x14ac:dyDescent="0.2">
      <c r="U80" s="64" t="s">
        <v>78</v>
      </c>
      <c r="V80" s="48">
        <f>$AA$93*$AA$94*(($AA$86-$AA$87)*$AA$79*AA82*$AA$88)*($AA$95-$AA$96)/$AA$101/3412*AA106</f>
        <v>695.69455585572007</v>
      </c>
      <c r="W80" s="44">
        <f>$AA$93*$AA$94*(($AA$86-$AA$87)*$AA$79*AA82*$AA$88)*($AA$95-$AA$96)/$AA$101/3412*AA112</f>
        <v>3.8120249635929866E-2</v>
      </c>
      <c r="Y80" s="40" t="s">
        <v>491</v>
      </c>
      <c r="Z80" s="40" t="s">
        <v>492</v>
      </c>
      <c r="AA80" s="49">
        <f>AA83</f>
        <v>0.97</v>
      </c>
      <c r="AB80" s="65" t="s">
        <v>493</v>
      </c>
      <c r="AC80" s="50" t="s">
        <v>494</v>
      </c>
      <c r="AD80" s="41"/>
    </row>
    <row r="81" spans="21:30" x14ac:dyDescent="0.2">
      <c r="U81" s="64" t="s">
        <v>144</v>
      </c>
      <c r="V81" s="48">
        <f>$AA$93*$AA$94*(($AA$86-$AA$87)*$AA$79*AA83*$AA$88)*($AA$95-$AA$96)/$AA$101/3412*AA107</f>
        <v>369.76642146851964</v>
      </c>
      <c r="W81" s="44">
        <f>$AA$93*$AA$94*(($AA$86-$AA$87)*$AA$79*AA83*$AA$88)*($AA$95-$AA$96)/$AA$101/3412*AA113</f>
        <v>0.11832525486992629</v>
      </c>
      <c r="Y81" s="50"/>
      <c r="Z81" s="51" t="s">
        <v>167</v>
      </c>
      <c r="AA81" s="50">
        <v>0.89</v>
      </c>
      <c r="AB81" s="50"/>
      <c r="AC81" s="50"/>
      <c r="AD81" s="41"/>
    </row>
    <row r="82" spans="21:30" x14ac:dyDescent="0.2">
      <c r="U82" s="64" t="s">
        <v>208</v>
      </c>
      <c r="V82" s="48">
        <f>$AA$93*$AA$94*(($AA$86-$AA$87)*$AA$79*AA84*$AA$88)*($AA$95-$AA$96)/$AA$101/3412*AA108</f>
        <v>11097.719555010446</v>
      </c>
      <c r="W82" s="44">
        <f>$AA$93*$AA$94*(($AA$86-$AA$87)*$AA$79*AA84*$AA$88)*($AA$95-$AA$96)/$AA$101/3412*AA114</f>
        <v>2.4323768887694128</v>
      </c>
      <c r="Y82" s="50"/>
      <c r="Z82" s="51" t="s">
        <v>78</v>
      </c>
      <c r="AA82" s="50">
        <v>1.25</v>
      </c>
      <c r="AB82" s="50"/>
      <c r="AC82" s="50"/>
      <c r="AD82" s="41"/>
    </row>
    <row r="83" spans="21:30" x14ac:dyDescent="0.2">
      <c r="U83" s="64" t="s">
        <v>149</v>
      </c>
      <c r="V83" s="48">
        <f>$AA$93*$AA$94*(($AA$86-$AA$87)*$AA$79*AA85*$AA$88)*($AA$95-$AA$96)/$AA$101/3412*AA109</f>
        <v>402.54983615541937</v>
      </c>
      <c r="W83" s="44">
        <f>$AA$93*$AA$94*(($AA$86-$AA$87)*$AA$79*AA85*$AA$88)*($AA$95-$AA$96)/$AA$101/3412*AA115</f>
        <v>0.10063745903885485</v>
      </c>
      <c r="Y83" s="50"/>
      <c r="Z83" s="51" t="s">
        <v>144</v>
      </c>
      <c r="AA83" s="50">
        <v>0.97</v>
      </c>
      <c r="AB83" s="50"/>
      <c r="AC83" s="50"/>
      <c r="AD83" s="41"/>
    </row>
    <row r="84" spans="21:30" x14ac:dyDescent="0.2">
      <c r="U84" s="64" t="s">
        <v>152</v>
      </c>
      <c r="V84" s="48">
        <f>$AA$93*$AA$94*(($AA$86-$AA$87)*$AA$79*AA80*$AA$88)*($AA$95-$AA$96)/$AA$101/3412*AA104</f>
        <v>369.76642146851964</v>
      </c>
      <c r="W84" s="44">
        <f>$AA$93*$AA$94*(($AA$86-$AA$87)*$AA$79*AA80*$AA$88)*($AA$95-$AA$96)/$AA$101/3412*AA110</f>
        <v>0.11832525486992629</v>
      </c>
      <c r="Y84" s="50"/>
      <c r="Z84" s="51" t="s">
        <v>208</v>
      </c>
      <c r="AA84" s="50">
        <v>19.940000000000001</v>
      </c>
      <c r="AB84" s="50"/>
      <c r="AC84" s="50"/>
      <c r="AD84" s="41"/>
    </row>
    <row r="85" spans="21:30" x14ac:dyDescent="0.2">
      <c r="Y85" s="50"/>
      <c r="Z85" s="51" t="s">
        <v>149</v>
      </c>
      <c r="AA85" s="50">
        <v>1.32</v>
      </c>
      <c r="AB85" s="50"/>
      <c r="AC85" s="50"/>
      <c r="AD85" s="41"/>
    </row>
    <row r="86" spans="21:30" x14ac:dyDescent="0.2">
      <c r="Y86" s="40" t="s">
        <v>495</v>
      </c>
      <c r="Z86" s="40" t="s">
        <v>423</v>
      </c>
      <c r="AA86" s="49">
        <v>2.5</v>
      </c>
      <c r="AB86" s="50" t="s">
        <v>424</v>
      </c>
      <c r="AC86" s="50"/>
      <c r="AD86" s="41"/>
    </row>
    <row r="87" spans="21:30" x14ac:dyDescent="0.2">
      <c r="Y87" s="40" t="s">
        <v>496</v>
      </c>
      <c r="Z87" s="40" t="s">
        <v>426</v>
      </c>
      <c r="AA87" s="61">
        <f>Other!$E$4</f>
        <v>0</v>
      </c>
      <c r="AB87" s="50" t="s">
        <v>424</v>
      </c>
      <c r="AC87" s="50"/>
      <c r="AD87" s="41"/>
    </row>
    <row r="88" spans="21:30" x14ac:dyDescent="0.2">
      <c r="Y88" s="40" t="s">
        <v>497</v>
      </c>
      <c r="Z88" s="59" t="s">
        <v>498</v>
      </c>
      <c r="AA88" s="66">
        <f>AVERAGE(AA89:AA91)</f>
        <v>0.66779876627171664</v>
      </c>
      <c r="AB88" s="50"/>
      <c r="AC88" s="50" t="s">
        <v>485</v>
      </c>
      <c r="AD88" s="41"/>
    </row>
    <row r="89" spans="21:30" x14ac:dyDescent="0.2">
      <c r="Y89" s="50"/>
      <c r="Z89" s="51" t="s">
        <v>447</v>
      </c>
      <c r="AA89" s="66">
        <f>(104.4-AA97)/($AA$95-AA97)</f>
        <v>0.65472010688739146</v>
      </c>
      <c r="AB89" s="50"/>
      <c r="AC89" s="50" t="s">
        <v>499</v>
      </c>
      <c r="AD89" s="41"/>
    </row>
    <row r="90" spans="21:30" x14ac:dyDescent="0.2">
      <c r="Y90" s="50"/>
      <c r="Z90" s="51" t="s">
        <v>448</v>
      </c>
      <c r="AA90" s="66">
        <f>(104.4-AA98)/($AA$95-AA98)</f>
        <v>0.6692503130082933</v>
      </c>
      <c r="AB90" s="50"/>
      <c r="AC90" s="50"/>
      <c r="AD90" s="41"/>
    </row>
    <row r="91" spans="21:30" x14ac:dyDescent="0.2">
      <c r="Y91" s="50"/>
      <c r="Z91" s="51" t="s">
        <v>451</v>
      </c>
      <c r="AA91" s="66">
        <f>(104.4-AA99)/($AA$95-AA99)</f>
        <v>0.67942587891946504</v>
      </c>
      <c r="AB91" s="50"/>
      <c r="AC91" s="50"/>
      <c r="AD91" s="41"/>
    </row>
    <row r="92" spans="21:30" x14ac:dyDescent="0.2">
      <c r="Y92" s="50"/>
      <c r="Z92" s="51" t="s">
        <v>452</v>
      </c>
      <c r="AA92" s="66">
        <f>(104.4-AA100)/($AA$95-AA100)</f>
        <v>0.68505259421103259</v>
      </c>
      <c r="AB92" s="50"/>
      <c r="AC92" s="50"/>
      <c r="AD92" s="41"/>
    </row>
    <row r="93" spans="21:30" x14ac:dyDescent="0.2">
      <c r="Y93" s="40" t="s">
        <v>458</v>
      </c>
      <c r="Z93" s="40" t="s">
        <v>459</v>
      </c>
      <c r="AA93" s="49">
        <v>8.33</v>
      </c>
      <c r="AB93" s="50" t="s">
        <v>460</v>
      </c>
      <c r="AC93" s="50"/>
      <c r="AD93" s="41"/>
    </row>
    <row r="94" spans="21:30" x14ac:dyDescent="0.2">
      <c r="Y94" s="40" t="s">
        <v>463</v>
      </c>
      <c r="Z94" s="40" t="s">
        <v>464</v>
      </c>
      <c r="AA94" s="49">
        <v>1</v>
      </c>
      <c r="AB94" s="50" t="s">
        <v>465</v>
      </c>
      <c r="AC94" s="50"/>
      <c r="AD94" s="41"/>
    </row>
    <row r="95" spans="21:30" x14ac:dyDescent="0.2">
      <c r="Y95" s="40" t="s">
        <v>500</v>
      </c>
      <c r="Z95" s="40" t="s">
        <v>501</v>
      </c>
      <c r="AA95" s="49">
        <v>120</v>
      </c>
      <c r="AB95" s="50" t="s">
        <v>442</v>
      </c>
      <c r="AC95" s="50"/>
      <c r="AD95" s="41"/>
    </row>
    <row r="96" spans="21:30" x14ac:dyDescent="0.2">
      <c r="Y96" s="40" t="s">
        <v>444</v>
      </c>
      <c r="Z96" s="40" t="s">
        <v>445</v>
      </c>
      <c r="AA96" s="67">
        <f>AVERAGE(AA97:AA99)</f>
        <v>72.996997574915099</v>
      </c>
      <c r="AB96" s="50"/>
      <c r="AC96" s="50" t="s">
        <v>485</v>
      </c>
      <c r="AD96" s="41"/>
    </row>
    <row r="97" spans="25:30" x14ac:dyDescent="0.2">
      <c r="Y97" s="50"/>
      <c r="Z97" s="51" t="s">
        <v>447</v>
      </c>
      <c r="AA97" s="57">
        <v>74.8192631219558</v>
      </c>
      <c r="AB97" s="50" t="s">
        <v>442</v>
      </c>
      <c r="AC97" s="50"/>
      <c r="AD97" s="41"/>
    </row>
    <row r="98" spans="25:30" x14ac:dyDescent="0.2">
      <c r="Y98" s="50"/>
      <c r="Z98" s="51" t="s">
        <v>448</v>
      </c>
      <c r="AA98" s="57">
        <v>72.834422484604943</v>
      </c>
      <c r="AB98" s="50" t="s">
        <v>442</v>
      </c>
      <c r="AC98" s="50"/>
      <c r="AD98" s="41"/>
    </row>
    <row r="99" spans="25:30" x14ac:dyDescent="0.2">
      <c r="Y99" s="50"/>
      <c r="Z99" s="51" t="s">
        <v>451</v>
      </c>
      <c r="AA99" s="57">
        <v>71.33730711818454</v>
      </c>
      <c r="AB99" s="50" t="s">
        <v>442</v>
      </c>
      <c r="AC99" s="50"/>
      <c r="AD99" s="41"/>
    </row>
    <row r="100" spans="25:30" x14ac:dyDescent="0.2">
      <c r="Y100" s="50"/>
      <c r="Z100" s="51" t="s">
        <v>452</v>
      </c>
      <c r="AA100" s="57">
        <v>70.467920315391083</v>
      </c>
      <c r="AB100" s="50" t="s">
        <v>442</v>
      </c>
      <c r="AC100" s="50"/>
      <c r="AD100" s="41"/>
    </row>
    <row r="101" spans="25:30" x14ac:dyDescent="0.2">
      <c r="Y101" s="40" t="s">
        <v>466</v>
      </c>
      <c r="Z101" s="59" t="s">
        <v>467</v>
      </c>
      <c r="AA101" s="49">
        <f>AA102</f>
        <v>0.98</v>
      </c>
      <c r="AB101" s="50"/>
      <c r="AC101" s="50" t="s">
        <v>468</v>
      </c>
      <c r="AD101" s="41"/>
    </row>
    <row r="102" spans="25:30" x14ac:dyDescent="0.2">
      <c r="Y102" s="50"/>
      <c r="Z102" s="51" t="s">
        <v>469</v>
      </c>
      <c r="AA102" s="50">
        <v>0.98</v>
      </c>
      <c r="AB102" s="50"/>
      <c r="AC102" s="50"/>
      <c r="AD102" s="41"/>
    </row>
    <row r="103" spans="25:30" x14ac:dyDescent="0.2">
      <c r="Y103" s="50"/>
      <c r="Z103" s="51" t="s">
        <v>470</v>
      </c>
      <c r="AA103" s="50">
        <v>2.2000000000000002</v>
      </c>
      <c r="AB103" s="50"/>
      <c r="AC103" s="50"/>
      <c r="AD103" s="41"/>
    </row>
    <row r="104" spans="25:30" x14ac:dyDescent="0.2">
      <c r="Y104" s="40" t="s">
        <v>502</v>
      </c>
      <c r="Z104" s="68" t="s">
        <v>503</v>
      </c>
      <c r="AA104" s="49">
        <f>AA107</f>
        <v>250</v>
      </c>
      <c r="AB104" s="50" t="s">
        <v>504</v>
      </c>
      <c r="AC104" s="50" t="s">
        <v>494</v>
      </c>
      <c r="AD104" s="41"/>
    </row>
    <row r="105" spans="25:30" x14ac:dyDescent="0.2">
      <c r="Y105" s="50"/>
      <c r="Z105" s="51" t="s">
        <v>167</v>
      </c>
      <c r="AA105" s="50">
        <v>365</v>
      </c>
      <c r="AB105" s="50" t="s">
        <v>504</v>
      </c>
      <c r="AC105" s="50"/>
      <c r="AD105" s="41"/>
    </row>
    <row r="106" spans="25:30" x14ac:dyDescent="0.2">
      <c r="Y106" s="50"/>
      <c r="Z106" s="51" t="s">
        <v>78</v>
      </c>
      <c r="AA106" s="50">
        <v>365</v>
      </c>
      <c r="AB106" s="50" t="s">
        <v>504</v>
      </c>
      <c r="AC106" s="50"/>
      <c r="AD106" s="41"/>
    </row>
    <row r="107" spans="25:30" x14ac:dyDescent="0.2">
      <c r="Y107" s="50"/>
      <c r="Z107" s="51" t="s">
        <v>144</v>
      </c>
      <c r="AA107" s="50">
        <v>250</v>
      </c>
      <c r="AB107" s="50" t="s">
        <v>504</v>
      </c>
      <c r="AC107" s="50"/>
      <c r="AD107" s="41"/>
    </row>
    <row r="108" spans="25:30" x14ac:dyDescent="0.2">
      <c r="Y108" s="50"/>
      <c r="Z108" s="51" t="s">
        <v>208</v>
      </c>
      <c r="AA108" s="50">
        <v>365</v>
      </c>
      <c r="AB108" s="50" t="s">
        <v>504</v>
      </c>
      <c r="AC108" s="50"/>
      <c r="AD108" s="41"/>
    </row>
    <row r="109" spans="25:30" x14ac:dyDescent="0.2">
      <c r="Y109" s="50"/>
      <c r="Z109" s="51" t="s">
        <v>149</v>
      </c>
      <c r="AA109" s="50">
        <v>200</v>
      </c>
      <c r="AB109" s="50" t="s">
        <v>504</v>
      </c>
      <c r="AC109" s="50"/>
      <c r="AD109" s="41"/>
    </row>
    <row r="110" spans="25:30" x14ac:dyDescent="0.2">
      <c r="Y110" s="40" t="s">
        <v>472</v>
      </c>
      <c r="Z110" s="60" t="s">
        <v>505</v>
      </c>
      <c r="AA110" s="49">
        <f>AA113</f>
        <v>0.08</v>
      </c>
      <c r="AB110" s="50"/>
      <c r="AC110" s="50" t="s">
        <v>494</v>
      </c>
      <c r="AD110" s="41"/>
    </row>
    <row r="111" spans="25:30" x14ac:dyDescent="0.2">
      <c r="Y111" s="50"/>
      <c r="Z111" s="51" t="s">
        <v>167</v>
      </c>
      <c r="AA111" s="50">
        <v>0.03</v>
      </c>
      <c r="AB111" s="50"/>
      <c r="AC111" s="50"/>
      <c r="AD111" s="41"/>
    </row>
    <row r="112" spans="25:30" x14ac:dyDescent="0.2">
      <c r="Y112" s="50"/>
      <c r="Z112" s="51" t="s">
        <v>78</v>
      </c>
      <c r="AA112" s="50">
        <v>0.02</v>
      </c>
      <c r="AB112" s="50"/>
      <c r="AC112" s="50"/>
      <c r="AD112" s="41"/>
    </row>
    <row r="113" spans="25:30" x14ac:dyDescent="0.2">
      <c r="Y113" s="50"/>
      <c r="Z113" s="51" t="s">
        <v>144</v>
      </c>
      <c r="AA113" s="50">
        <v>0.08</v>
      </c>
      <c r="AB113" s="50"/>
      <c r="AC113" s="50"/>
      <c r="AD113" s="41"/>
    </row>
    <row r="114" spans="25:30" x14ac:dyDescent="0.2">
      <c r="Y114" s="50"/>
      <c r="Z114" s="51" t="s">
        <v>208</v>
      </c>
      <c r="AA114" s="50">
        <v>0.08</v>
      </c>
      <c r="AB114" s="50"/>
      <c r="AC114" s="50"/>
      <c r="AD114" s="41"/>
    </row>
    <row r="115" spans="25:30" x14ac:dyDescent="0.2">
      <c r="Y115" s="50"/>
      <c r="Z115" s="51" t="s">
        <v>149</v>
      </c>
      <c r="AA115" s="50">
        <v>0.05</v>
      </c>
      <c r="AB115" s="50"/>
      <c r="AC115" s="50"/>
      <c r="AD115" s="41"/>
    </row>
  </sheetData>
  <pageMargins left="0.7" right="0.7" top="0.75" bottom="0.75" header="0.3" footer="0.3"/>
  <pageSetup orientation="portrait" r:id="rId1"/>
  <ignoredErrors>
    <ignoredError sqref="AA5 AC13 AA14 AA19 AA96" formulaRange="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CA202-8E70-4EB7-8C90-61A61ACCCD51}">
  <sheetPr>
    <tabColor theme="0" tint="-0.14999847407452621"/>
  </sheetPr>
  <dimension ref="A1:E26"/>
  <sheetViews>
    <sheetView showGridLines="0" workbookViewId="0">
      <selection activeCell="B12" sqref="B12"/>
    </sheetView>
  </sheetViews>
  <sheetFormatPr defaultRowHeight="15" x14ac:dyDescent="0.25"/>
  <cols>
    <col min="1" max="1" width="6" bestFit="1" customWidth="1"/>
    <col min="2" max="2" width="27" style="79" bestFit="1" customWidth="1"/>
    <col min="3" max="3" width="110.5703125" bestFit="1" customWidth="1"/>
    <col min="4" max="4" width="15.5703125" customWidth="1"/>
    <col min="5" max="5" width="22.85546875" customWidth="1"/>
  </cols>
  <sheetData>
    <row r="1" spans="1:5" x14ac:dyDescent="0.25">
      <c r="A1" s="239" t="s">
        <v>546</v>
      </c>
      <c r="B1" s="240" t="s">
        <v>547</v>
      </c>
      <c r="C1" s="239" t="s">
        <v>548</v>
      </c>
      <c r="D1" s="239" t="s">
        <v>549</v>
      </c>
      <c r="E1" s="239" t="s">
        <v>550</v>
      </c>
    </row>
    <row r="2" spans="1:5" x14ac:dyDescent="0.25">
      <c r="A2" s="9">
        <v>1</v>
      </c>
      <c r="B2" s="77">
        <v>1</v>
      </c>
      <c r="C2" s="9" t="s">
        <v>551</v>
      </c>
      <c r="D2" s="78">
        <v>44543</v>
      </c>
      <c r="E2" s="9" t="s">
        <v>552</v>
      </c>
    </row>
    <row r="3" spans="1:5" x14ac:dyDescent="0.25">
      <c r="A3" s="9">
        <v>2</v>
      </c>
      <c r="B3" s="77">
        <v>1.1000000000000001</v>
      </c>
      <c r="C3" s="9" t="s">
        <v>553</v>
      </c>
      <c r="D3" s="78">
        <v>44617</v>
      </c>
      <c r="E3" s="9" t="s">
        <v>554</v>
      </c>
    </row>
    <row r="4" spans="1:5" x14ac:dyDescent="0.25">
      <c r="A4" s="9">
        <v>3</v>
      </c>
      <c r="B4" s="77">
        <v>1.2</v>
      </c>
      <c r="C4" s="9" t="s">
        <v>555</v>
      </c>
      <c r="D4" s="78">
        <v>44621</v>
      </c>
      <c r="E4" s="9" t="s">
        <v>552</v>
      </c>
    </row>
    <row r="5" spans="1:5" x14ac:dyDescent="0.25">
      <c r="A5" s="9">
        <v>4</v>
      </c>
      <c r="B5" s="77">
        <v>1.3</v>
      </c>
      <c r="C5" s="9" t="s">
        <v>556</v>
      </c>
      <c r="D5" s="78">
        <v>44775</v>
      </c>
      <c r="E5" s="9" t="s">
        <v>552</v>
      </c>
    </row>
    <row r="6" spans="1:5" x14ac:dyDescent="0.25">
      <c r="A6" s="9">
        <v>5</v>
      </c>
      <c r="B6" s="77">
        <v>1.4</v>
      </c>
      <c r="C6" s="9" t="s">
        <v>633</v>
      </c>
      <c r="D6" s="78">
        <v>44880</v>
      </c>
      <c r="E6" s="9" t="s">
        <v>632</v>
      </c>
    </row>
    <row r="7" spans="1:5" x14ac:dyDescent="0.25">
      <c r="A7" s="9">
        <v>6</v>
      </c>
      <c r="B7" s="104" t="s">
        <v>652</v>
      </c>
      <c r="C7" s="9" t="s">
        <v>653</v>
      </c>
      <c r="D7" s="78">
        <v>45014</v>
      </c>
      <c r="E7" s="9" t="s">
        <v>554</v>
      </c>
    </row>
    <row r="8" spans="1:5" x14ac:dyDescent="0.25">
      <c r="A8" s="9">
        <v>7</v>
      </c>
      <c r="B8" s="77" t="s">
        <v>791</v>
      </c>
      <c r="C8" s="9" t="s">
        <v>793</v>
      </c>
      <c r="D8" s="78">
        <v>45104</v>
      </c>
      <c r="E8" s="9" t="s">
        <v>554</v>
      </c>
    </row>
    <row r="9" spans="1:5" x14ac:dyDescent="0.25">
      <c r="A9" s="9">
        <v>8</v>
      </c>
      <c r="B9" s="77" t="s">
        <v>814</v>
      </c>
      <c r="C9" s="9" t="s">
        <v>815</v>
      </c>
      <c r="D9" s="78">
        <v>45189</v>
      </c>
      <c r="E9" s="9" t="s">
        <v>554</v>
      </c>
    </row>
    <row r="10" spans="1:5" x14ac:dyDescent="0.25">
      <c r="A10" s="9">
        <v>9</v>
      </c>
      <c r="B10" s="77" t="s">
        <v>823</v>
      </c>
      <c r="C10" s="9" t="s">
        <v>824</v>
      </c>
      <c r="D10" s="78">
        <v>45296</v>
      </c>
      <c r="E10" s="9" t="s">
        <v>554</v>
      </c>
    </row>
    <row r="11" spans="1:5" x14ac:dyDescent="0.25">
      <c r="A11" s="9">
        <v>10</v>
      </c>
      <c r="B11" s="77" t="s">
        <v>841</v>
      </c>
      <c r="C11" s="9" t="s">
        <v>842</v>
      </c>
      <c r="D11" s="78">
        <v>45665</v>
      </c>
      <c r="E11" s="9" t="s">
        <v>554</v>
      </c>
    </row>
    <row r="12" spans="1:5" x14ac:dyDescent="0.25">
      <c r="A12" s="9">
        <v>11</v>
      </c>
      <c r="B12" s="77"/>
      <c r="C12" s="9"/>
      <c r="D12" s="9"/>
      <c r="E12" s="9"/>
    </row>
    <row r="13" spans="1:5" x14ac:dyDescent="0.25">
      <c r="A13" s="9">
        <v>12</v>
      </c>
      <c r="B13" s="77"/>
      <c r="C13" s="9"/>
      <c r="D13" s="9"/>
      <c r="E13" s="9"/>
    </row>
    <row r="14" spans="1:5" x14ac:dyDescent="0.25">
      <c r="A14" s="9">
        <v>13</v>
      </c>
      <c r="B14" s="77"/>
      <c r="C14" s="9"/>
      <c r="D14" s="9"/>
      <c r="E14" s="9"/>
    </row>
    <row r="15" spans="1:5" x14ac:dyDescent="0.25">
      <c r="A15" s="9">
        <v>14</v>
      </c>
      <c r="B15" s="77"/>
      <c r="C15" s="9"/>
      <c r="D15" s="9"/>
      <c r="E15" s="9"/>
    </row>
    <row r="16" spans="1:5" x14ac:dyDescent="0.25">
      <c r="A16" s="9">
        <v>15</v>
      </c>
      <c r="B16" s="77"/>
      <c r="C16" s="9"/>
      <c r="D16" s="9"/>
      <c r="E16" s="9"/>
    </row>
    <row r="17" spans="1:5" x14ac:dyDescent="0.25">
      <c r="A17" s="9">
        <v>16</v>
      </c>
      <c r="B17" s="77"/>
      <c r="C17" s="9"/>
      <c r="D17" s="9"/>
      <c r="E17" s="9"/>
    </row>
    <row r="18" spans="1:5" x14ac:dyDescent="0.25">
      <c r="A18" s="9">
        <v>17</v>
      </c>
      <c r="B18" s="77"/>
      <c r="C18" s="9"/>
      <c r="D18" s="9"/>
      <c r="E18" s="9"/>
    </row>
    <row r="19" spans="1:5" x14ac:dyDescent="0.25">
      <c r="A19" s="9">
        <v>18</v>
      </c>
      <c r="B19" s="77"/>
      <c r="C19" s="9"/>
      <c r="D19" s="9"/>
      <c r="E19" s="9"/>
    </row>
    <row r="20" spans="1:5" x14ac:dyDescent="0.25">
      <c r="A20" s="9">
        <v>19</v>
      </c>
      <c r="B20" s="77"/>
      <c r="C20" s="9"/>
      <c r="D20" s="9"/>
      <c r="E20" s="9"/>
    </row>
    <row r="21" spans="1:5" x14ac:dyDescent="0.25">
      <c r="A21" s="9">
        <v>20</v>
      </c>
      <c r="B21" s="77"/>
      <c r="C21" s="9"/>
      <c r="D21" s="9"/>
      <c r="E21" s="9"/>
    </row>
    <row r="22" spans="1:5" x14ac:dyDescent="0.25">
      <c r="A22" s="9">
        <v>21</v>
      </c>
      <c r="B22" s="77"/>
      <c r="C22" s="9"/>
      <c r="D22" s="9"/>
      <c r="E22" s="9"/>
    </row>
    <row r="23" spans="1:5" x14ac:dyDescent="0.25">
      <c r="A23" s="9">
        <v>22</v>
      </c>
      <c r="B23" s="77"/>
      <c r="C23" s="9"/>
      <c r="D23" s="9"/>
      <c r="E23" s="9"/>
    </row>
    <row r="24" spans="1:5" x14ac:dyDescent="0.25">
      <c r="A24" s="9">
        <v>23</v>
      </c>
      <c r="B24" s="77"/>
      <c r="C24" s="9"/>
      <c r="D24" s="9"/>
      <c r="E24" s="9"/>
    </row>
    <row r="25" spans="1:5" x14ac:dyDescent="0.25">
      <c r="A25" s="9">
        <v>24</v>
      </c>
      <c r="B25" s="77"/>
      <c r="C25" s="9"/>
      <c r="D25" s="9"/>
      <c r="E25" s="9"/>
    </row>
    <row r="26" spans="1:5" x14ac:dyDescent="0.25">
      <c r="A26" s="9">
        <v>25</v>
      </c>
      <c r="B26" s="77"/>
      <c r="C26" s="9"/>
      <c r="D26" s="9"/>
      <c r="E26" s="9"/>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ED1653"/>
  </sheetPr>
  <dimension ref="B2:D25"/>
  <sheetViews>
    <sheetView showGridLines="0" showRowColHeaders="0" zoomScaleNormal="100" workbookViewId="0">
      <selection activeCell="B9" sqref="B9:D9"/>
    </sheetView>
  </sheetViews>
  <sheetFormatPr defaultRowHeight="14.25" x14ac:dyDescent="0.2"/>
  <cols>
    <col min="1" max="1" width="2.28515625" style="6" customWidth="1"/>
    <col min="2" max="2" width="89" style="6" bestFit="1" customWidth="1"/>
    <col min="3" max="3" width="31.28515625" style="6" bestFit="1" customWidth="1"/>
    <col min="4" max="4" width="75.42578125" style="6" bestFit="1" customWidth="1"/>
    <col min="5" max="14" width="9.140625" style="6"/>
    <col min="15" max="15" width="44.28515625" style="6" bestFit="1" customWidth="1"/>
    <col min="16" max="16384" width="9.140625" style="6"/>
  </cols>
  <sheetData>
    <row r="2" spans="2:4" ht="31.5" hidden="1" customHeight="1" x14ac:dyDescent="0.25">
      <c r="B2" s="387"/>
      <c r="C2" s="387"/>
      <c r="D2" s="387"/>
    </row>
    <row r="3" spans="2:4" ht="15" hidden="1" customHeight="1" x14ac:dyDescent="0.2">
      <c r="B3" s="388" t="s">
        <v>16</v>
      </c>
      <c r="C3" s="388"/>
      <c r="D3" s="388"/>
    </row>
    <row r="4" spans="2:4" hidden="1" x14ac:dyDescent="0.2">
      <c r="B4" s="390" t="s">
        <v>17</v>
      </c>
      <c r="C4" s="390"/>
      <c r="D4" s="390"/>
    </row>
    <row r="5" spans="2:4" hidden="1" x14ac:dyDescent="0.2">
      <c r="B5" s="7" t="s">
        <v>18</v>
      </c>
      <c r="C5" s="7" t="s">
        <v>19</v>
      </c>
      <c r="D5" s="8" t="s">
        <v>20</v>
      </c>
    </row>
    <row r="6" spans="2:4" hidden="1" x14ac:dyDescent="0.2">
      <c r="B6" s="7" t="s">
        <v>21</v>
      </c>
      <c r="C6" s="7" t="s">
        <v>19</v>
      </c>
      <c r="D6" s="8" t="s">
        <v>20</v>
      </c>
    </row>
    <row r="7" spans="2:4" ht="28.5" hidden="1" x14ac:dyDescent="0.2">
      <c r="B7" s="7" t="s">
        <v>22</v>
      </c>
      <c r="C7" s="7" t="s">
        <v>23</v>
      </c>
      <c r="D7" s="8" t="s">
        <v>24</v>
      </c>
    </row>
    <row r="8" spans="2:4" ht="18" hidden="1" customHeight="1" x14ac:dyDescent="0.2"/>
    <row r="9" spans="2:4" ht="15" customHeight="1" x14ac:dyDescent="0.2">
      <c r="B9" s="389" t="s">
        <v>687</v>
      </c>
      <c r="C9" s="389"/>
      <c r="D9" s="389"/>
    </row>
    <row r="10" spans="2:4" ht="15" customHeight="1" x14ac:dyDescent="0.2">
      <c r="B10" s="385" t="s">
        <v>25</v>
      </c>
      <c r="C10" s="385"/>
      <c r="D10" s="385"/>
    </row>
    <row r="11" spans="2:4" ht="15" customHeight="1" x14ac:dyDescent="0.2">
      <c r="B11" s="386" t="s">
        <v>26</v>
      </c>
      <c r="C11" s="386"/>
      <c r="D11" s="386"/>
    </row>
    <row r="12" spans="2:4" x14ac:dyDescent="0.2">
      <c r="B12" s="7" t="s">
        <v>835</v>
      </c>
      <c r="C12" s="7" t="s">
        <v>771</v>
      </c>
      <c r="D12" s="375" t="s">
        <v>837</v>
      </c>
    </row>
    <row r="13" spans="2:4" ht="28.5" x14ac:dyDescent="0.2">
      <c r="B13" s="7" t="s">
        <v>836</v>
      </c>
      <c r="C13" s="7" t="s">
        <v>27</v>
      </c>
      <c r="D13" s="8" t="s">
        <v>28</v>
      </c>
    </row>
    <row r="15" spans="2:4" ht="18" x14ac:dyDescent="0.2">
      <c r="B15" s="389" t="s">
        <v>688</v>
      </c>
      <c r="C15" s="389"/>
      <c r="D15" s="389"/>
    </row>
    <row r="16" spans="2:4" ht="47.25" customHeight="1" x14ac:dyDescent="0.2">
      <c r="B16" s="385" t="s">
        <v>29</v>
      </c>
      <c r="C16" s="385"/>
      <c r="D16" s="385"/>
    </row>
    <row r="18" spans="2:4" ht="18" x14ac:dyDescent="0.2">
      <c r="B18" s="389" t="s">
        <v>689</v>
      </c>
      <c r="C18" s="389"/>
      <c r="D18" s="389"/>
    </row>
    <row r="19" spans="2:4" ht="18" customHeight="1" x14ac:dyDescent="0.2">
      <c r="B19" s="7" t="s">
        <v>772</v>
      </c>
      <c r="C19" s="384" t="s">
        <v>31</v>
      </c>
      <c r="D19" s="385"/>
    </row>
    <row r="20" spans="2:4" ht="15" thickBot="1" x14ac:dyDescent="0.25"/>
    <row r="21" spans="2:4" ht="18" x14ac:dyDescent="0.2">
      <c r="B21" s="125" t="s">
        <v>690</v>
      </c>
    </row>
    <row r="22" spans="2:4" ht="28.5" x14ac:dyDescent="0.2">
      <c r="B22" s="7" t="s">
        <v>32</v>
      </c>
    </row>
    <row r="23" spans="2:4" x14ac:dyDescent="0.2">
      <c r="B23" s="7" t="s">
        <v>788</v>
      </c>
    </row>
    <row r="24" spans="2:4" ht="28.5" x14ac:dyDescent="0.2">
      <c r="B24" s="7" t="s">
        <v>780</v>
      </c>
    </row>
    <row r="25" spans="2:4" ht="28.5" x14ac:dyDescent="0.2">
      <c r="B25" s="7" t="s">
        <v>781</v>
      </c>
    </row>
  </sheetData>
  <sheetProtection algorithmName="SHA-512" hashValue="stGKuHriT/JlORYfLes+3jjoKu53c/knHDykeBlmIDqVV5bxYZOC76cY9Z5CofloDJC/avXSb/+DVlekgWfkRQ==" saltValue="D4boTCbUXsTBjP3SiLeidA==" spinCount="100000" sheet="1" objects="1" scenarios="1"/>
  <mergeCells count="10">
    <mergeCell ref="C19:D19"/>
    <mergeCell ref="B11:D11"/>
    <mergeCell ref="B10:D10"/>
    <mergeCell ref="B2:D2"/>
    <mergeCell ref="B3:D3"/>
    <mergeCell ref="B9:D9"/>
    <mergeCell ref="B16:D16"/>
    <mergeCell ref="B4:D4"/>
    <mergeCell ref="B15:D15"/>
    <mergeCell ref="B18:D18"/>
  </mergeCells>
  <hyperlinks>
    <hyperlink ref="D5" r:id="rId1" xr:uid="{00000000-0004-0000-0100-000000000000}"/>
    <hyperlink ref="D6" r:id="rId2" xr:uid="{00000000-0004-0000-0100-000001000000}"/>
    <hyperlink ref="D7" r:id="rId3" xr:uid="{00000000-0004-0000-0100-000002000000}"/>
    <hyperlink ref="C19" r:id="rId4" xr:uid="{00000000-0004-0000-0100-000003000000}"/>
    <hyperlink ref="D13" r:id="rId5" xr:uid="{00000000-0004-0000-0100-000004000000}"/>
  </hyperlinks>
  <pageMargins left="0.7" right="0.7" top="0.75" bottom="0.75" header="0.3" footer="0.3"/>
  <pageSetup scale="68" orientation="landscape" verticalDpi="1200" r:id="rId6"/>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EDF64-03EA-446B-840E-E007AB4B1426}">
  <sheetPr>
    <tabColor rgb="FFED1653"/>
  </sheetPr>
  <dimension ref="B2:I15"/>
  <sheetViews>
    <sheetView showGridLines="0" showRowColHeaders="0" zoomScaleNormal="100" workbookViewId="0">
      <selection activeCell="C3" sqref="C3"/>
    </sheetView>
  </sheetViews>
  <sheetFormatPr defaultRowHeight="14.25" x14ac:dyDescent="0.2"/>
  <cols>
    <col min="1" max="1" width="9.140625" style="6"/>
    <col min="2" max="2" width="48.140625" style="6" bestFit="1" customWidth="1"/>
    <col min="3" max="3" width="20.42578125" style="6" customWidth="1"/>
    <col min="4" max="4" width="12.7109375" style="6" bestFit="1" customWidth="1"/>
    <col min="5" max="5" width="13.7109375" style="6" bestFit="1" customWidth="1"/>
    <col min="6" max="6" width="14.5703125" style="6" bestFit="1" customWidth="1"/>
    <col min="7" max="7" width="17.7109375" style="6" bestFit="1" customWidth="1"/>
    <col min="8" max="8" width="15.5703125" style="6" bestFit="1" customWidth="1"/>
    <col min="9" max="9" width="22.85546875" style="6" bestFit="1" customWidth="1"/>
    <col min="10" max="16384" width="9.140625" style="6"/>
  </cols>
  <sheetData>
    <row r="2" spans="2:9" x14ac:dyDescent="0.2">
      <c r="B2" s="126" t="s">
        <v>763</v>
      </c>
      <c r="C2" s="126"/>
    </row>
    <row r="3" spans="2:9" x14ac:dyDescent="0.2">
      <c r="B3" s="296" t="s">
        <v>616</v>
      </c>
      <c r="C3" s="297"/>
    </row>
    <row r="4" spans="2:9" x14ac:dyDescent="0.2">
      <c r="B4" s="296" t="s">
        <v>617</v>
      </c>
      <c r="C4" s="297"/>
    </row>
    <row r="5" spans="2:9" x14ac:dyDescent="0.2">
      <c r="B5" s="296" t="s">
        <v>618</v>
      </c>
      <c r="C5" s="297"/>
    </row>
    <row r="8" spans="2:9" ht="15" thickBot="1" x14ac:dyDescent="0.25"/>
    <row r="9" spans="2:9" ht="30.75" thickBot="1" x14ac:dyDescent="0.25">
      <c r="B9" s="127" t="s">
        <v>764</v>
      </c>
      <c r="C9" s="128" t="s">
        <v>697</v>
      </c>
      <c r="D9" s="298" t="s">
        <v>619</v>
      </c>
      <c r="E9" s="298" t="s">
        <v>699</v>
      </c>
      <c r="F9" s="298" t="s">
        <v>700</v>
      </c>
      <c r="G9" s="298" t="s">
        <v>701</v>
      </c>
      <c r="H9" s="298" t="s">
        <v>702</v>
      </c>
      <c r="I9" s="299" t="s">
        <v>703</v>
      </c>
    </row>
    <row r="10" spans="2:9" x14ac:dyDescent="0.2">
      <c r="B10" s="130" t="s">
        <v>765</v>
      </c>
      <c r="C10" s="352">
        <f>SUM(HVAC!J1,Other!H1)</f>
        <v>0</v>
      </c>
      <c r="D10" s="353">
        <f>SUM(HVAC!M1,Other!K1)</f>
        <v>0</v>
      </c>
      <c r="E10" s="354">
        <f>SUM(HVAC!N1,Other!L1)</f>
        <v>0</v>
      </c>
      <c r="F10" s="353">
        <f>SUM(HVAC!O1,Other!M1)</f>
        <v>0</v>
      </c>
      <c r="G10" s="355">
        <f>SUM(HVAC!P1,Other!N1)</f>
        <v>0</v>
      </c>
      <c r="H10" s="353" t="e">
        <f>C10-'Completion notice'!E18</f>
        <v>#DIV/0!</v>
      </c>
      <c r="I10" s="356" t="e">
        <f>SUM(HVAC!R1,Other!P1)</f>
        <v>#DIV/0!</v>
      </c>
    </row>
    <row r="11" spans="2:9" x14ac:dyDescent="0.2">
      <c r="B11" s="131" t="s">
        <v>734</v>
      </c>
      <c r="C11" s="301">
        <f>'Int. LPD'!K1</f>
        <v>0</v>
      </c>
      <c r="D11" s="300">
        <f>'Int. LPD'!N1</f>
        <v>0</v>
      </c>
      <c r="E11" s="302">
        <f>'Int. LPD'!O1</f>
        <v>0</v>
      </c>
      <c r="F11" s="300">
        <f>'Int. LPD'!P1</f>
        <v>0</v>
      </c>
      <c r="G11" s="303">
        <f>'Int. LPD'!Q1</f>
        <v>0</v>
      </c>
      <c r="H11" s="300" t="e">
        <f>C11-'Completion notice'!E16</f>
        <v>#DIV/0!</v>
      </c>
      <c r="I11" s="304" t="e">
        <f>'Int. LPD'!S1</f>
        <v>#DIV/0!</v>
      </c>
    </row>
    <row r="12" spans="2:9" x14ac:dyDescent="0.2">
      <c r="B12" s="131" t="s">
        <v>766</v>
      </c>
      <c r="C12" s="301">
        <f>'Ext. LPD'!I1</f>
        <v>0</v>
      </c>
      <c r="D12" s="300">
        <f>'Ext. LPD'!N1</f>
        <v>0</v>
      </c>
      <c r="E12" s="302">
        <f>'Ext. LPD'!O1</f>
        <v>0</v>
      </c>
      <c r="F12" s="300">
        <f>'Ext. LPD'!P1</f>
        <v>0</v>
      </c>
      <c r="G12" s="303">
        <f>'Ext. LPD'!Q1</f>
        <v>0</v>
      </c>
      <c r="H12" s="300" t="e">
        <f>C12-'Completion notice'!E17</f>
        <v>#DIV/0!</v>
      </c>
      <c r="I12" s="304" t="str">
        <f>'Ext. LPD'!S1</f>
        <v/>
      </c>
    </row>
    <row r="13" spans="2:9" ht="15.75" thickBot="1" x14ac:dyDescent="0.25">
      <c r="B13" s="132" t="s">
        <v>41</v>
      </c>
      <c r="C13" s="305">
        <f>SUM(C10:C12,C3:C5)</f>
        <v>0</v>
      </c>
      <c r="D13" s="305">
        <f>MIN(SUM(D10:D12),C13,Value_Max_Incentive)</f>
        <v>0</v>
      </c>
      <c r="E13" s="306">
        <f>SUM(E10:E12)</f>
        <v>0</v>
      </c>
      <c r="F13" s="305">
        <f>SUM(F10:F12)</f>
        <v>0</v>
      </c>
      <c r="G13" s="307">
        <f>SUM(G10:G12)</f>
        <v>0</v>
      </c>
      <c r="H13" s="305" t="e">
        <f>SUM(H10:H12)</f>
        <v>#DIV/0!</v>
      </c>
      <c r="I13" s="308" t="str">
        <f>IF(C13=0,"",H13/F13)</f>
        <v/>
      </c>
    </row>
    <row r="15" spans="2:9" x14ac:dyDescent="0.2">
      <c r="D15" s="309"/>
    </row>
  </sheetData>
  <sheetProtection algorithmName="SHA-512" hashValue="opUh1kpmVSs+I/F+58hF8zfEJbv9X3INBtMuKPX8ORV+vipOqAdj37iKWBktl34ktycqYjMRn5gkB7DkHN9MNQ==" saltValue="BirY3iV4lk5o6ZD+NfcOaw==" spinCount="100000" sheet="1" objects="1" scenarios="1"/>
  <pageMargins left="0.7" right="0.7" top="0.75" bottom="0.75" header="0.3" footer="0.3"/>
  <pageSetup orientation="portrait" horizontalDpi="4294967293" verticalDpi="4294967293"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B89A4-0E8B-4CAA-8A3F-CBC070C3EF07}">
  <sheetPr>
    <tabColor theme="0" tint="-0.249977111117893"/>
  </sheetPr>
  <dimension ref="B1:S17"/>
  <sheetViews>
    <sheetView showGridLines="0" showRowColHeaders="0" zoomScaleNormal="100" workbookViewId="0">
      <selection activeCell="D3" sqref="D3"/>
    </sheetView>
  </sheetViews>
  <sheetFormatPr defaultRowHeight="15" x14ac:dyDescent="0.25"/>
  <cols>
    <col min="2" max="2" width="9.140625" customWidth="1"/>
    <col min="3" max="3" width="8.85546875" bestFit="1" customWidth="1"/>
    <col min="4" max="4" width="23.42578125" bestFit="1" customWidth="1"/>
    <col min="5" max="5" width="37" bestFit="1" customWidth="1"/>
    <col min="6" max="6" width="37.28515625" bestFit="1" customWidth="1"/>
    <col min="7" max="7" width="30.7109375" bestFit="1" customWidth="1"/>
    <col min="8" max="8" width="11.85546875" customWidth="1"/>
    <col min="9" max="9" width="14.42578125" bestFit="1" customWidth="1"/>
    <col min="10" max="10" width="49.85546875" customWidth="1"/>
    <col min="11" max="11" width="14" customWidth="1"/>
    <col min="12" max="12" width="13.28515625" bestFit="1" customWidth="1"/>
    <col min="13" max="13" width="12.28515625" bestFit="1" customWidth="1"/>
    <col min="14" max="14" width="17.140625" customWidth="1"/>
    <col min="15" max="15" width="12.7109375" bestFit="1" customWidth="1"/>
    <col min="16" max="16" width="14.42578125" customWidth="1"/>
    <col min="17" max="17" width="13.5703125" bestFit="1" customWidth="1"/>
    <col min="18" max="18" width="16" customWidth="1"/>
    <col min="19" max="19" width="8.5703125" bestFit="1" customWidth="1"/>
  </cols>
  <sheetData>
    <row r="1" spans="2:19" ht="23.25" x14ac:dyDescent="0.35">
      <c r="D1" s="139" t="s">
        <v>40</v>
      </c>
      <c r="E1" s="133"/>
      <c r="F1" s="133"/>
      <c r="G1" s="133"/>
      <c r="H1" s="133"/>
      <c r="I1" s="133"/>
      <c r="J1" s="133"/>
      <c r="K1" s="409">
        <f>SUM(K3:K17)</f>
        <v>0</v>
      </c>
      <c r="N1" s="409">
        <f>SUM(N3:N17)</f>
        <v>0</v>
      </c>
      <c r="O1" s="136">
        <f>SUM(O3:O17)</f>
        <v>0</v>
      </c>
      <c r="P1" s="409">
        <f>SUM(P3:P17)</f>
        <v>0</v>
      </c>
      <c r="Q1" s="137">
        <f>SUM(Q3:Q17)</f>
        <v>0</v>
      </c>
      <c r="R1" s="409">
        <f>SUM(R3:R17)</f>
        <v>0</v>
      </c>
      <c r="S1" s="138" t="e">
        <f>R1/P1</f>
        <v>#DIV/0!</v>
      </c>
    </row>
    <row r="2" spans="2:19" s="5" customFormat="1" ht="45" x14ac:dyDescent="0.25">
      <c r="B2" s="134" t="s">
        <v>691</v>
      </c>
      <c r="C2" s="134" t="s">
        <v>43</v>
      </c>
      <c r="D2" s="134" t="s">
        <v>692</v>
      </c>
      <c r="E2" s="134" t="s">
        <v>678</v>
      </c>
      <c r="F2" s="134" t="s">
        <v>693</v>
      </c>
      <c r="G2" s="134" t="s">
        <v>694</v>
      </c>
      <c r="H2" s="134" t="s">
        <v>45</v>
      </c>
      <c r="I2" s="134" t="s">
        <v>695</v>
      </c>
      <c r="J2" s="134" t="s">
        <v>696</v>
      </c>
      <c r="K2" s="135" t="s">
        <v>697</v>
      </c>
      <c r="L2" s="135" t="s">
        <v>46</v>
      </c>
      <c r="M2" s="135" t="s">
        <v>47</v>
      </c>
      <c r="N2" s="135" t="s">
        <v>698</v>
      </c>
      <c r="O2" s="135" t="s">
        <v>699</v>
      </c>
      <c r="P2" s="135" t="s">
        <v>700</v>
      </c>
      <c r="Q2" s="135" t="s">
        <v>701</v>
      </c>
      <c r="R2" s="135" t="s">
        <v>702</v>
      </c>
      <c r="S2" s="135" t="s">
        <v>703</v>
      </c>
    </row>
    <row r="3" spans="2:19" s="4" customFormat="1" x14ac:dyDescent="0.25">
      <c r="B3" s="140" t="str">
        <f>IF(ISBLANK($D3)=TRUE,"",Lookups!$F$38)</f>
        <v/>
      </c>
      <c r="C3" s="141" t="s">
        <v>48</v>
      </c>
      <c r="D3" s="142"/>
      <c r="E3" s="142"/>
      <c r="F3" s="142"/>
      <c r="G3" s="143"/>
      <c r="H3" s="144"/>
      <c r="I3" s="145"/>
      <c r="J3" s="146" t="str">
        <f>IF(E3="","",VLOOKUP(Input_BldgType,Table_LtgFactors,2,FALSE))</f>
        <v/>
      </c>
      <c r="K3" s="410"/>
      <c r="L3" s="148" t="str">
        <f>IFERROR(I3/H3,"")</f>
        <v/>
      </c>
      <c r="M3" s="148" t="str" cm="1">
        <f t="array" ref="M3">IF(E3="","",IFERROR(IF($D3=Lookups!$J$40,VLOOKUP($E3,Table_WholeBuildingMethod,2,FALSE),IF('Int. LPD'!$D3=Lookups!$J$41,INDEX(Lookups!$L$48:$L$138,MATCH(1,('Int. LPD'!$E3=Lookups!$J$48:$J$138)*('Int. LPD'!$F3=Lookups!$K$48:$K$138),0)))),"Invalid"))</f>
        <v/>
      </c>
      <c r="N3" s="149" t="str">
        <f>IFERROR($O3*IF(Input_ProgramType=Lookups!$B$47,Lookups!$C$38,Lookups!$D$38),"")</f>
        <v/>
      </c>
      <c r="O3" s="150" t="str">
        <f>IFERROR(($M3-$L3)/1000*$H3*$J3*VLOOKUP($G3,Table_LtgIEF,3,FALSE),"")</f>
        <v/>
      </c>
      <c r="P3" s="151" t="str">
        <f t="shared" ref="P3:P17" si="0">IFERROR($O3*VLOOKUP(Input_ProgramType,Table_kWhCost,2,FALSE),"")</f>
        <v/>
      </c>
      <c r="Q3" s="152" t="str">
        <f>IFERROR(($M3-$L3)/1000*$H3*VLOOKUP('Fillable Application &amp; Instruct'!$F$20,Table_LtgFactors,3,FALSE)*VLOOKUP($G3,Table_LtgIEF,2,FALSE),"")</f>
        <v/>
      </c>
      <c r="R3" s="151" t="str">
        <f>IF(ISNUMBER($N3)=TRUE,$K3-$N3,"")</f>
        <v/>
      </c>
      <c r="S3" s="153" t="str">
        <f>IFERROR(R3/P3,"")</f>
        <v/>
      </c>
    </row>
    <row r="4" spans="2:19" s="4" customFormat="1" x14ac:dyDescent="0.25">
      <c r="B4" s="140" t="str">
        <f>IF(ISBLANK($D4)=TRUE,"",Lookups!$F$38)</f>
        <v/>
      </c>
      <c r="C4" s="141" t="s">
        <v>48</v>
      </c>
      <c r="D4" s="142"/>
      <c r="E4" s="142"/>
      <c r="F4" s="142"/>
      <c r="G4" s="143"/>
      <c r="H4" s="144"/>
      <c r="I4" s="145"/>
      <c r="J4" s="146" t="str">
        <f>IF(ISBLANK(D4)=TRUE,"",VLOOKUP(Input_BldgType,Table_LtgFactors,2,FALSE))</f>
        <v/>
      </c>
      <c r="K4" s="410"/>
      <c r="L4" s="148" t="str">
        <f t="shared" ref="L4:L12" si="1">IFERROR(I4/H4,"")</f>
        <v/>
      </c>
      <c r="M4" s="148" t="str" cm="1">
        <f t="array" ref="M4">IF(E4="","",IFERROR(IF($D4=Lookups!$J$40,VLOOKUP($E4,Table_WholeBuildingMethod,2,FALSE),IF('Int. LPD'!$D4=Lookups!$J$41,INDEX(Lookups!$L$48:$L$138,MATCH(1,('Int. LPD'!$E4=Lookups!$J$48:$J$138)*('Int. LPD'!$F4=Lookups!$K$48:$K$138),0)))),"Invalid"))</f>
        <v/>
      </c>
      <c r="N4" s="149" t="str">
        <f>IFERROR($O4*VLOOKUP(Input_ProgramType,Lookups!$J$184:$K$186,2,FALSE),"")</f>
        <v/>
      </c>
      <c r="O4" s="150" t="str">
        <f t="shared" ref="O4:O17" si="2">IFERROR(($M4-$L4)/1000*$H4*$J4*VLOOKUP($G4,Table_LtgIEF,3,FALSE),"")</f>
        <v/>
      </c>
      <c r="P4" s="151" t="str">
        <f t="shared" si="0"/>
        <v/>
      </c>
      <c r="Q4" s="152" t="str">
        <f>IFERROR(($M4-$L4)/1000*$H4*VLOOKUP('Fillable Application &amp; Instruct'!$F$20,Table_LtgFactors,3,FALSE)*VLOOKUP($G4,Table_LtgIEF,2,FALSE),"")</f>
        <v/>
      </c>
      <c r="R4" s="151" t="str">
        <f>IF(ISNUMBER($N4)=TRUE,$K4-$N4,"")</f>
        <v/>
      </c>
      <c r="S4" s="153" t="str">
        <f t="shared" ref="S4:S12" si="3">IFERROR(R4/P4,"")</f>
        <v/>
      </c>
    </row>
    <row r="5" spans="2:19" s="4" customFormat="1" x14ac:dyDescent="0.25">
      <c r="B5" s="140" t="str">
        <f>IF(ISBLANK($D5)=TRUE,"",Lookups!$F$38)</f>
        <v/>
      </c>
      <c r="C5" s="141" t="s">
        <v>48</v>
      </c>
      <c r="D5" s="142"/>
      <c r="E5" s="142"/>
      <c r="F5" s="142"/>
      <c r="G5" s="143"/>
      <c r="H5" s="144"/>
      <c r="I5" s="145"/>
      <c r="J5" s="146" t="str">
        <f t="shared" ref="J5:J17" si="4">IF(ISBLANK(D5)=TRUE,"",VLOOKUP(Input_BldgType,Table_LtgFactors,2,FALSE))</f>
        <v/>
      </c>
      <c r="K5" s="410"/>
      <c r="L5" s="148" t="str">
        <f t="shared" si="1"/>
        <v/>
      </c>
      <c r="M5" s="148" t="str" cm="1">
        <f t="array" ref="M5">IF(E5="","",IFERROR(IF($D5=Lookups!$J$40,VLOOKUP($E5,Table_WholeBuildingMethod,2,FALSE),IF('Int. LPD'!$D5=Lookups!$J$41,INDEX(Lookups!$L$48:$L$138,MATCH(1,('Int. LPD'!$E5=Lookups!$J$48:$J$138)*('Int. LPD'!$F5=Lookups!$K$48:$K$138),0)))),"Invalid"))</f>
        <v/>
      </c>
      <c r="N5" s="149" t="str">
        <f>IFERROR($O5*VLOOKUP(Input_ProgramType,Lookups!$J$184:$K$186,2,FALSE),"")</f>
        <v/>
      </c>
      <c r="O5" s="150" t="str">
        <f t="shared" si="2"/>
        <v/>
      </c>
      <c r="P5" s="151" t="str">
        <f t="shared" si="0"/>
        <v/>
      </c>
      <c r="Q5" s="152" t="str">
        <f>IFERROR(($M5-$L5)/1000*$H5*VLOOKUP('Fillable Application &amp; Instruct'!$F$20,Table_LtgFactors,3,FALSE)*VLOOKUP($G5,Table_LtgIEF,2,FALSE),"")</f>
        <v/>
      </c>
      <c r="R5" s="151" t="str">
        <f t="shared" ref="R5:R17" si="5">IF(ISNUMBER($N5)=TRUE,$K5-$N5,"")</f>
        <v/>
      </c>
      <c r="S5" s="153" t="str">
        <f t="shared" si="3"/>
        <v/>
      </c>
    </row>
    <row r="6" spans="2:19" s="4" customFormat="1" x14ac:dyDescent="0.25">
      <c r="B6" s="140" t="str">
        <f>IF(ISBLANK($D6)=TRUE,"",Lookups!$F$38)</f>
        <v/>
      </c>
      <c r="C6" s="141" t="s">
        <v>48</v>
      </c>
      <c r="D6" s="142"/>
      <c r="E6" s="142"/>
      <c r="F6" s="142"/>
      <c r="G6" s="143"/>
      <c r="H6" s="144"/>
      <c r="I6" s="145"/>
      <c r="J6" s="146" t="str">
        <f t="shared" si="4"/>
        <v/>
      </c>
      <c r="K6" s="410"/>
      <c r="L6" s="148" t="str">
        <f t="shared" si="1"/>
        <v/>
      </c>
      <c r="M6" s="148" t="str" cm="1">
        <f t="array" ref="M6">IF(E6="","",IFERROR(IF($D6=Lookups!$J$40,VLOOKUP($E6,Table_WholeBuildingMethod,2,FALSE),IF('Int. LPD'!$D6=Lookups!$J$41,INDEX(Lookups!$L$48:$L$138,MATCH(1,('Int. LPD'!$E6=Lookups!$J$48:$J$138)*('Int. LPD'!$F6=Lookups!$K$48:$K$138),0)))),"Invalid"))</f>
        <v/>
      </c>
      <c r="N6" s="149" t="str">
        <f>IFERROR($O6*VLOOKUP(Input_ProgramType,Lookups!$J$184:$K$186,2,FALSE),"")</f>
        <v/>
      </c>
      <c r="O6" s="150" t="str">
        <f t="shared" si="2"/>
        <v/>
      </c>
      <c r="P6" s="151" t="str">
        <f t="shared" si="0"/>
        <v/>
      </c>
      <c r="Q6" s="152" t="str">
        <f>IFERROR(($M6-$L6)/1000*$H6*VLOOKUP('Fillable Application &amp; Instruct'!$F$20,Table_LtgFactors,3,FALSE)*VLOOKUP($G6,Table_LtgIEF,2,FALSE),"")</f>
        <v/>
      </c>
      <c r="R6" s="151" t="str">
        <f t="shared" si="5"/>
        <v/>
      </c>
      <c r="S6" s="153" t="str">
        <f t="shared" si="3"/>
        <v/>
      </c>
    </row>
    <row r="7" spans="2:19" s="4" customFormat="1" x14ac:dyDescent="0.25">
      <c r="B7" s="140" t="str">
        <f>IF(ISBLANK($D7)=TRUE,"",Lookups!$F$38)</f>
        <v/>
      </c>
      <c r="C7" s="141" t="s">
        <v>48</v>
      </c>
      <c r="D7" s="142"/>
      <c r="E7" s="142"/>
      <c r="F7" s="142"/>
      <c r="G7" s="143"/>
      <c r="H7" s="144"/>
      <c r="I7" s="145"/>
      <c r="J7" s="146" t="str">
        <f t="shared" si="4"/>
        <v/>
      </c>
      <c r="K7" s="410"/>
      <c r="L7" s="148" t="str">
        <f t="shared" si="1"/>
        <v/>
      </c>
      <c r="M7" s="148" t="str" cm="1">
        <f t="array" ref="M7">IF(E7="","",IFERROR(IF($D7=Lookups!$J$40,VLOOKUP($E7,Table_WholeBuildingMethod,2,FALSE),IF('Int. LPD'!$D7=Lookups!$J$41,INDEX(Lookups!$L$48:$L$138,MATCH(1,('Int. LPD'!$E7=Lookups!$J$48:$J$138)*('Int. LPD'!$F7=Lookups!$K$48:$K$138),0)))),"Invalid"))</f>
        <v/>
      </c>
      <c r="N7" s="149" t="str">
        <f>IFERROR($O7*VLOOKUP(Input_ProgramType,Lookups!$J$184:$K$186,2,FALSE),"")</f>
        <v/>
      </c>
      <c r="O7" s="150" t="str">
        <f t="shared" si="2"/>
        <v/>
      </c>
      <c r="P7" s="151" t="str">
        <f t="shared" si="0"/>
        <v/>
      </c>
      <c r="Q7" s="152" t="str">
        <f>IFERROR(($M7-$L7)/1000*$H7*VLOOKUP('Fillable Application &amp; Instruct'!$F$20,Table_LtgFactors,3,FALSE)*VLOOKUP($G7,Table_LtgIEF,2,FALSE),"")</f>
        <v/>
      </c>
      <c r="R7" s="151" t="str">
        <f t="shared" si="5"/>
        <v/>
      </c>
      <c r="S7" s="153" t="str">
        <f t="shared" si="3"/>
        <v/>
      </c>
    </row>
    <row r="8" spans="2:19" s="4" customFormat="1" x14ac:dyDescent="0.25">
      <c r="B8" s="140" t="str">
        <f>IF(ISBLANK($D8)=TRUE,"",Lookups!$F$38)</f>
        <v/>
      </c>
      <c r="C8" s="141" t="s">
        <v>48</v>
      </c>
      <c r="D8" s="142"/>
      <c r="E8" s="142"/>
      <c r="F8" s="142"/>
      <c r="G8" s="143"/>
      <c r="H8" s="144"/>
      <c r="I8" s="145"/>
      <c r="J8" s="146" t="str">
        <f t="shared" si="4"/>
        <v/>
      </c>
      <c r="K8" s="410"/>
      <c r="L8" s="148" t="str">
        <f t="shared" si="1"/>
        <v/>
      </c>
      <c r="M8" s="148" t="str" cm="1">
        <f t="array" ref="M8">IF(E8="","",IFERROR(IF($D8=Lookups!$J$40,VLOOKUP($E8,Table_WholeBuildingMethod,2,FALSE),IF('Int. LPD'!$D8=Lookups!$J$41,INDEX(Lookups!$L$48:$L$138,MATCH(1,('Int. LPD'!$E8=Lookups!$J$48:$J$138)*('Int. LPD'!$F8=Lookups!$K$48:$K$138),0)))),"Invalid"))</f>
        <v/>
      </c>
      <c r="N8" s="149" t="str">
        <f>IFERROR($O8*VLOOKUP(Input_ProgramType,Lookups!$J$184:$K$186,2,FALSE),"")</f>
        <v/>
      </c>
      <c r="O8" s="150" t="str">
        <f t="shared" si="2"/>
        <v/>
      </c>
      <c r="P8" s="151" t="str">
        <f t="shared" si="0"/>
        <v/>
      </c>
      <c r="Q8" s="152" t="str">
        <f>IFERROR(($M8-$L8)/1000*$H8*VLOOKUP('Fillable Application &amp; Instruct'!$F$20,Table_LtgFactors,3,FALSE)*VLOOKUP($G8,Table_LtgIEF,2,FALSE),"")</f>
        <v/>
      </c>
      <c r="R8" s="151" t="str">
        <f t="shared" si="5"/>
        <v/>
      </c>
      <c r="S8" s="153" t="str">
        <f t="shared" si="3"/>
        <v/>
      </c>
    </row>
    <row r="9" spans="2:19" s="4" customFormat="1" x14ac:dyDescent="0.25">
      <c r="B9" s="140" t="str">
        <f>IF(ISBLANK($D9)=TRUE,"",Lookups!$F$38)</f>
        <v/>
      </c>
      <c r="C9" s="141" t="s">
        <v>48</v>
      </c>
      <c r="D9" s="142"/>
      <c r="E9" s="142"/>
      <c r="F9" s="142"/>
      <c r="G9" s="143"/>
      <c r="H9" s="144"/>
      <c r="I9" s="145"/>
      <c r="J9" s="146" t="str">
        <f t="shared" si="4"/>
        <v/>
      </c>
      <c r="K9" s="410"/>
      <c r="L9" s="148" t="str">
        <f t="shared" si="1"/>
        <v/>
      </c>
      <c r="M9" s="148" t="str" cm="1">
        <f t="array" ref="M9">IF(E9="","",IFERROR(IF($D9=Lookups!$J$40,VLOOKUP($E9,Table_WholeBuildingMethod,2,FALSE),IF('Int. LPD'!$D9=Lookups!$J$41,INDEX(Lookups!$L$48:$L$138,MATCH(1,('Int. LPD'!$E9=Lookups!$J$48:$J$138)*('Int. LPD'!$F9=Lookups!$K$48:$K$138),0)))),"Invalid"))</f>
        <v/>
      </c>
      <c r="N9" s="149" t="str">
        <f>IFERROR($O9*VLOOKUP(Input_ProgramType,Lookups!$J$184:$K$186,2,FALSE),"")</f>
        <v/>
      </c>
      <c r="O9" s="150" t="str">
        <f t="shared" si="2"/>
        <v/>
      </c>
      <c r="P9" s="151" t="str">
        <f t="shared" si="0"/>
        <v/>
      </c>
      <c r="Q9" s="152" t="str">
        <f>IFERROR(($M9-$L9)/1000*$H9*VLOOKUP('Fillable Application &amp; Instruct'!$F$20,Table_LtgFactors,3,FALSE)*VLOOKUP($G9,Table_LtgIEF,2,FALSE),"")</f>
        <v/>
      </c>
      <c r="R9" s="151" t="str">
        <f t="shared" si="5"/>
        <v/>
      </c>
      <c r="S9" s="153" t="str">
        <f t="shared" si="3"/>
        <v/>
      </c>
    </row>
    <row r="10" spans="2:19" s="4" customFormat="1" x14ac:dyDescent="0.25">
      <c r="B10" s="140" t="str">
        <f>IF(ISBLANK($D10)=TRUE,"",Lookups!$F$38)</f>
        <v/>
      </c>
      <c r="C10" s="141" t="s">
        <v>48</v>
      </c>
      <c r="D10" s="142"/>
      <c r="E10" s="142"/>
      <c r="F10" s="142"/>
      <c r="G10" s="143"/>
      <c r="H10" s="144"/>
      <c r="I10" s="145"/>
      <c r="J10" s="146" t="str">
        <f t="shared" si="4"/>
        <v/>
      </c>
      <c r="K10" s="410"/>
      <c r="L10" s="148" t="str">
        <f t="shared" si="1"/>
        <v/>
      </c>
      <c r="M10" s="148" t="str" cm="1">
        <f t="array" ref="M10">IF(E10="","",IFERROR(IF($D10=Lookups!$J$40,VLOOKUP($E10,Table_WholeBuildingMethod,2,FALSE),IF('Int. LPD'!$D10=Lookups!$J$41,INDEX(Lookups!$L$48:$L$138,MATCH(1,('Int. LPD'!$E10=Lookups!$J$48:$J$138)*('Int. LPD'!$F10=Lookups!$K$48:$K$138),0)))),"Invalid"))</f>
        <v/>
      </c>
      <c r="N10" s="149" t="str">
        <f>IFERROR($O10*VLOOKUP(Input_ProgramType,Lookups!$J$184:$K$186,2,FALSE),"")</f>
        <v/>
      </c>
      <c r="O10" s="150" t="str">
        <f t="shared" si="2"/>
        <v/>
      </c>
      <c r="P10" s="151" t="str">
        <f t="shared" si="0"/>
        <v/>
      </c>
      <c r="Q10" s="152" t="str">
        <f>IFERROR(($M10-$L10)/1000*$H10*VLOOKUP('Fillable Application &amp; Instruct'!$F$20,Table_LtgFactors,3,FALSE)*VLOOKUP($G10,Table_LtgIEF,2,FALSE),"")</f>
        <v/>
      </c>
      <c r="R10" s="151" t="str">
        <f t="shared" si="5"/>
        <v/>
      </c>
      <c r="S10" s="153" t="str">
        <f t="shared" si="3"/>
        <v/>
      </c>
    </row>
    <row r="11" spans="2:19" s="4" customFormat="1" x14ac:dyDescent="0.25">
      <c r="B11" s="140" t="str">
        <f>IF(ISBLANK($D11)=TRUE,"",Lookups!$F$38)</f>
        <v/>
      </c>
      <c r="C11" s="141" t="s">
        <v>48</v>
      </c>
      <c r="D11" s="142"/>
      <c r="E11" s="142"/>
      <c r="F11" s="142"/>
      <c r="G11" s="143"/>
      <c r="H11" s="144"/>
      <c r="I11" s="145"/>
      <c r="J11" s="146" t="str">
        <f t="shared" si="4"/>
        <v/>
      </c>
      <c r="K11" s="410"/>
      <c r="L11" s="148" t="str">
        <f t="shared" si="1"/>
        <v/>
      </c>
      <c r="M11" s="148" t="str" cm="1">
        <f t="array" ref="M11">IF(E11="","",IFERROR(IF($D11=Lookups!$J$40,VLOOKUP($E11,Table_WholeBuildingMethod,2,FALSE),IF('Int. LPD'!$D11=Lookups!$J$41,INDEX(Lookups!$L$48:$L$138,MATCH(1,('Int. LPD'!$E11=Lookups!$J$48:$J$138)*('Int. LPD'!$F11=Lookups!$K$48:$K$138),0)))),"Invalid"))</f>
        <v/>
      </c>
      <c r="N11" s="149" t="str">
        <f>IFERROR($O11*VLOOKUP(Input_ProgramType,Lookups!$J$184:$K$186,2,FALSE),"")</f>
        <v/>
      </c>
      <c r="O11" s="150" t="str">
        <f t="shared" si="2"/>
        <v/>
      </c>
      <c r="P11" s="151" t="str">
        <f t="shared" si="0"/>
        <v/>
      </c>
      <c r="Q11" s="152" t="str">
        <f>IFERROR(($M11-$L11)/1000*$H11*VLOOKUP('Fillable Application &amp; Instruct'!$F$20,Table_LtgFactors,3,FALSE)*VLOOKUP($G11,Table_LtgIEF,2,FALSE),"")</f>
        <v/>
      </c>
      <c r="R11" s="151" t="str">
        <f t="shared" si="5"/>
        <v/>
      </c>
      <c r="S11" s="153" t="str">
        <f t="shared" si="3"/>
        <v/>
      </c>
    </row>
    <row r="12" spans="2:19" s="4" customFormat="1" x14ac:dyDescent="0.25">
      <c r="B12" s="140" t="str">
        <f>IF(ISBLANK($D12)=TRUE,"",Lookups!$F$38)</f>
        <v/>
      </c>
      <c r="C12" s="141" t="s">
        <v>48</v>
      </c>
      <c r="D12" s="142"/>
      <c r="E12" s="142"/>
      <c r="F12" s="142"/>
      <c r="G12" s="143"/>
      <c r="H12" s="144"/>
      <c r="I12" s="145"/>
      <c r="J12" s="146" t="str">
        <f t="shared" si="4"/>
        <v/>
      </c>
      <c r="K12" s="410"/>
      <c r="L12" s="148" t="str">
        <f t="shared" si="1"/>
        <v/>
      </c>
      <c r="M12" s="148" t="str" cm="1">
        <f t="array" ref="M12">IF(E12="","",IFERROR(IF($D12=Lookups!$J$40,VLOOKUP($E12,Table_WholeBuildingMethod,2,FALSE),IF('Int. LPD'!$D12=Lookups!$J$41,INDEX(Lookups!$L$48:$L$138,MATCH(1,('Int. LPD'!$E12=Lookups!$J$48:$J$138)*('Int. LPD'!$F12=Lookups!$K$48:$K$138),0)))),"Invalid"))</f>
        <v/>
      </c>
      <c r="N12" s="149" t="str">
        <f>IFERROR($O12*VLOOKUP(Input_ProgramType,Lookups!$J$184:$K$186,2,FALSE),"")</f>
        <v/>
      </c>
      <c r="O12" s="150" t="str">
        <f t="shared" si="2"/>
        <v/>
      </c>
      <c r="P12" s="151" t="str">
        <f t="shared" si="0"/>
        <v/>
      </c>
      <c r="Q12" s="152" t="str">
        <f>IFERROR(($M12-$L12)/1000*$H12*VLOOKUP('Fillable Application &amp; Instruct'!$F$20,Table_LtgFactors,3,FALSE)*VLOOKUP($G12,Table_LtgIEF,2,FALSE),"")</f>
        <v/>
      </c>
      <c r="R12" s="151" t="str">
        <f t="shared" si="5"/>
        <v/>
      </c>
      <c r="S12" s="153" t="str">
        <f t="shared" si="3"/>
        <v/>
      </c>
    </row>
    <row r="13" spans="2:19" s="4" customFormat="1" x14ac:dyDescent="0.25">
      <c r="B13" s="140" t="str">
        <f>IF(ISBLANK($D13)=TRUE,"",Lookups!$F$38)</f>
        <v/>
      </c>
      <c r="C13" s="141" t="s">
        <v>48</v>
      </c>
      <c r="D13" s="142"/>
      <c r="E13" s="142"/>
      <c r="F13" s="142"/>
      <c r="G13" s="143"/>
      <c r="H13" s="144"/>
      <c r="I13" s="145"/>
      <c r="J13" s="146" t="str">
        <f>IF(ISBLANK(D13)=TRUE,"",VLOOKUP(Input_BldgType,Table_LtgFactors,2,FALSE))</f>
        <v/>
      </c>
      <c r="K13" s="410"/>
      <c r="L13" s="148" t="str">
        <f t="shared" ref="L13:L17" si="6">IFERROR(I13/H13,"")</f>
        <v/>
      </c>
      <c r="M13" s="148" t="str" cm="1">
        <f t="array" ref="M13">IF(E13="","",IFERROR(IF($D13=Lookups!$J$40,VLOOKUP($E13,Table_WholeBuildingMethod,2,FALSE),IF('Int. LPD'!$D13=Lookups!$J$41,INDEX(Lookups!$L$48:$L$138,MATCH(1,('Int. LPD'!$E13=Lookups!$J$48:$J$138)*('Int. LPD'!$F13=Lookups!$K$48:$K$138),0)))),"Invalid"))</f>
        <v/>
      </c>
      <c r="N13" s="149" t="str">
        <f>IFERROR($O13*VLOOKUP(Input_ProgramType,Lookups!$J$184:$K$186,2,FALSE),"")</f>
        <v/>
      </c>
      <c r="O13" s="150" t="str">
        <f t="shared" si="2"/>
        <v/>
      </c>
      <c r="P13" s="151" t="str">
        <f t="shared" si="0"/>
        <v/>
      </c>
      <c r="Q13" s="152" t="str">
        <f>IFERROR(($M13-$L13)/1000*$H13*VLOOKUP('Fillable Application &amp; Instruct'!$F$20,Table_LtgFactors,3,FALSE)*VLOOKUP($G13,Table_LtgIEF,2,FALSE),"")</f>
        <v/>
      </c>
      <c r="R13" s="151" t="str">
        <f t="shared" si="5"/>
        <v/>
      </c>
      <c r="S13" s="153" t="str">
        <f t="shared" ref="S13:S17" si="7">IFERROR(R13/P13,"")</f>
        <v/>
      </c>
    </row>
    <row r="14" spans="2:19" s="4" customFormat="1" x14ac:dyDescent="0.25">
      <c r="B14" s="140" t="str">
        <f>IF(ISBLANK($D14)=TRUE,"",Lookups!$F$38)</f>
        <v/>
      </c>
      <c r="C14" s="141" t="s">
        <v>48</v>
      </c>
      <c r="D14" s="142"/>
      <c r="E14" s="142"/>
      <c r="F14" s="142"/>
      <c r="G14" s="143"/>
      <c r="H14" s="144"/>
      <c r="I14" s="145"/>
      <c r="J14" s="146" t="str">
        <f t="shared" si="4"/>
        <v/>
      </c>
      <c r="K14" s="410"/>
      <c r="L14" s="148" t="str">
        <f t="shared" si="6"/>
        <v/>
      </c>
      <c r="M14" s="148" t="str" cm="1">
        <f t="array" ref="M14">IF(E14="","",IFERROR(IF($D14=Lookups!$J$40,VLOOKUP($E14,Table_WholeBuildingMethod,2,FALSE),IF('Int. LPD'!$D14=Lookups!$J$41,INDEX(Lookups!$L$48:$L$138,MATCH(1,('Int. LPD'!$E14=Lookups!$J$48:$J$138)*('Int. LPD'!$F14=Lookups!$K$48:$K$138),0)))),"Invalid"))</f>
        <v/>
      </c>
      <c r="N14" s="149" t="str">
        <f>IFERROR($O14*VLOOKUP(Input_ProgramType,Lookups!$J$184:$K$186,2,FALSE),"")</f>
        <v/>
      </c>
      <c r="O14" s="150" t="str">
        <f t="shared" si="2"/>
        <v/>
      </c>
      <c r="P14" s="151" t="str">
        <f t="shared" si="0"/>
        <v/>
      </c>
      <c r="Q14" s="152" t="str">
        <f>IFERROR(($M14-$L14)/1000*$H14*VLOOKUP('Fillable Application &amp; Instruct'!$F$20,Table_LtgFactors,3,FALSE)*VLOOKUP($G14,Table_LtgIEF,2,FALSE),"")</f>
        <v/>
      </c>
      <c r="R14" s="151" t="str">
        <f t="shared" si="5"/>
        <v/>
      </c>
      <c r="S14" s="153" t="str">
        <f t="shared" si="7"/>
        <v/>
      </c>
    </row>
    <row r="15" spans="2:19" s="4" customFormat="1" x14ac:dyDescent="0.25">
      <c r="B15" s="140" t="str">
        <f>IF(ISBLANK($D15)=TRUE,"",Lookups!$F$38)</f>
        <v/>
      </c>
      <c r="C15" s="141" t="s">
        <v>48</v>
      </c>
      <c r="D15" s="142"/>
      <c r="E15" s="142"/>
      <c r="F15" s="142"/>
      <c r="G15" s="143"/>
      <c r="H15" s="144"/>
      <c r="I15" s="145"/>
      <c r="J15" s="146" t="str">
        <f t="shared" si="4"/>
        <v/>
      </c>
      <c r="K15" s="410"/>
      <c r="L15" s="148" t="str">
        <f t="shared" si="6"/>
        <v/>
      </c>
      <c r="M15" s="148" t="str" cm="1">
        <f t="array" ref="M15">IF(E15="","",IFERROR(IF($D15=Lookups!$J$40,VLOOKUP($E15,Table_WholeBuildingMethod,2,FALSE),IF('Int. LPD'!$D15=Lookups!$J$41,INDEX(Lookups!$L$48:$L$138,MATCH(1,('Int. LPD'!$E15=Lookups!$J$48:$J$138)*('Int. LPD'!$F15=Lookups!$K$48:$K$138),0)))),"Invalid"))</f>
        <v/>
      </c>
      <c r="N15" s="149" t="str">
        <f>IFERROR($O15*VLOOKUP(Input_ProgramType,Lookups!$J$184:$K$186,2,FALSE),"")</f>
        <v/>
      </c>
      <c r="O15" s="150" t="str">
        <f t="shared" si="2"/>
        <v/>
      </c>
      <c r="P15" s="151" t="str">
        <f t="shared" si="0"/>
        <v/>
      </c>
      <c r="Q15" s="152" t="str">
        <f>IFERROR(($M15-$L15)/1000*$H15*VLOOKUP('Fillable Application &amp; Instruct'!$F$20,Table_LtgFactors,3,FALSE)*VLOOKUP($G15,Table_LtgIEF,2,FALSE),"")</f>
        <v/>
      </c>
      <c r="R15" s="151" t="str">
        <f t="shared" si="5"/>
        <v/>
      </c>
      <c r="S15" s="153" t="str">
        <f t="shared" si="7"/>
        <v/>
      </c>
    </row>
    <row r="16" spans="2:19" s="4" customFormat="1" x14ac:dyDescent="0.25">
      <c r="B16" s="140" t="str">
        <f>IF(ISBLANK($D16)=TRUE,"",Lookups!$F$38)</f>
        <v/>
      </c>
      <c r="C16" s="141" t="s">
        <v>48</v>
      </c>
      <c r="D16" s="142"/>
      <c r="E16" s="142"/>
      <c r="F16" s="142"/>
      <c r="G16" s="143"/>
      <c r="H16" s="144"/>
      <c r="I16" s="145"/>
      <c r="J16" s="146" t="str">
        <f t="shared" si="4"/>
        <v/>
      </c>
      <c r="K16" s="410"/>
      <c r="L16" s="148" t="str">
        <f t="shared" si="6"/>
        <v/>
      </c>
      <c r="M16" s="148" t="str" cm="1">
        <f t="array" ref="M16">IF(E16="","",IFERROR(IF($D16=Lookups!$J$40,VLOOKUP($E16,Table_WholeBuildingMethod,2,FALSE),IF('Int. LPD'!$D16=Lookups!$J$41,INDEX(Lookups!$L$48:$L$138,MATCH(1,('Int. LPD'!$E16=Lookups!$J$48:$J$138)*('Int. LPD'!$F16=Lookups!$K$48:$K$138),0)))),"Invalid"))</f>
        <v/>
      </c>
      <c r="N16" s="149" t="str">
        <f>IFERROR($O16*VLOOKUP(Input_ProgramType,Lookups!$J$184:$K$186,2,FALSE),"")</f>
        <v/>
      </c>
      <c r="O16" s="150" t="str">
        <f t="shared" si="2"/>
        <v/>
      </c>
      <c r="P16" s="151" t="str">
        <f t="shared" si="0"/>
        <v/>
      </c>
      <c r="Q16" s="152" t="str">
        <f>IFERROR(($M16-$L16)/1000*$H16*VLOOKUP('Fillable Application &amp; Instruct'!$F$20,Table_LtgFactors,3,FALSE)*VLOOKUP($G16,Table_LtgIEF,2,FALSE),"")</f>
        <v/>
      </c>
      <c r="R16" s="151" t="str">
        <f t="shared" si="5"/>
        <v/>
      </c>
      <c r="S16" s="153" t="str">
        <f t="shared" si="7"/>
        <v/>
      </c>
    </row>
    <row r="17" spans="2:19" s="4" customFormat="1" x14ac:dyDescent="0.25">
      <c r="B17" s="140" t="str">
        <f>IF(ISBLANK($D17)=TRUE,"",Lookups!$F$38)</f>
        <v/>
      </c>
      <c r="C17" s="141" t="s">
        <v>48</v>
      </c>
      <c r="D17" s="142"/>
      <c r="E17" s="142"/>
      <c r="F17" s="142"/>
      <c r="G17" s="143"/>
      <c r="H17" s="144"/>
      <c r="I17" s="145"/>
      <c r="J17" s="146" t="str">
        <f t="shared" si="4"/>
        <v/>
      </c>
      <c r="K17" s="410"/>
      <c r="L17" s="148" t="str">
        <f t="shared" si="6"/>
        <v/>
      </c>
      <c r="M17" s="148" t="str" cm="1">
        <f t="array" ref="M17">IF(E17="","",IFERROR(IF($D17=Lookups!$J$40,VLOOKUP($E17,Table_WholeBuildingMethod,2,FALSE),IF('Int. LPD'!$D17=Lookups!$J$41,INDEX(Lookups!$L$48:$L$138,MATCH(1,('Int. LPD'!$E17=Lookups!$J$48:$J$138)*('Int. LPD'!$F17=Lookups!$K$48:$K$138),0)))),"Invalid"))</f>
        <v/>
      </c>
      <c r="N17" s="149" t="str">
        <f>IFERROR($O17*VLOOKUP(Input_ProgramType,Lookups!$J$184:$K$186,2,FALSE),"")</f>
        <v/>
      </c>
      <c r="O17" s="150" t="str">
        <f t="shared" si="2"/>
        <v/>
      </c>
      <c r="P17" s="151" t="str">
        <f t="shared" si="0"/>
        <v/>
      </c>
      <c r="Q17" s="152" t="str">
        <f>IFERROR(($M17-$L17)/1000*$H17*VLOOKUP('Fillable Application &amp; Instruct'!$F$20,Table_LtgFactors,3,FALSE)*VLOOKUP($G17,Table_LtgIEF,2,FALSE),"")</f>
        <v/>
      </c>
      <c r="R17" s="151" t="str">
        <f t="shared" si="5"/>
        <v/>
      </c>
      <c r="S17" s="153" t="str">
        <f t="shared" si="7"/>
        <v/>
      </c>
    </row>
  </sheetData>
  <sheetProtection algorithmName="SHA-512" hashValue="iDfuJzga5Yb6pNUnR2U1d+9T3WKVePutHJlW0PhYk52If8W3yU8spno/yJm4UzfBc+8wVDmumqThTyd4fr2tww==" saltValue="tVyHw7BQiuAqCN3LzI45mg==" spinCount="100000" sheet="1" objects="1" scenarios="1"/>
  <conditionalFormatting sqref="D4:F17 H4:L17 N4:S17">
    <cfRule type="expression" dxfId="4" priority="8">
      <formula>IF($D$3="Building Area Method",1,)</formula>
    </cfRule>
  </conditionalFormatting>
  <dataValidations count="4">
    <dataValidation type="list" allowBlank="1" showInputMessage="1" showErrorMessage="1" sqref="D3:D17" xr:uid="{67C21824-B542-4C01-A784-A04867C9F7DA}">
      <formula1>List_IntLPDMethods</formula1>
    </dataValidation>
    <dataValidation type="list" showInputMessage="1" showErrorMessage="1" sqref="G3:G17" xr:uid="{70E97A36-15A3-4DF3-B2FC-D08E01F4A550}">
      <formula1>List_LtgIEF</formula1>
    </dataValidation>
    <dataValidation type="list" allowBlank="1" showInputMessage="1" showErrorMessage="1" sqref="E3:E17" xr:uid="{771BF33E-1513-4BBB-88EF-29F1EB41E0E8}">
      <formula1>INDIRECT(_xlfn.CONCAT("List_",SUBSTITUTE(D3," ","")))</formula1>
    </dataValidation>
    <dataValidation type="list" showInputMessage="1" showErrorMessage="1" sqref="F4:F17 F3" xr:uid="{B377843A-6168-44D2-845E-3D9831A5D321}">
      <formula1>INDIRECT(SUBSTITUTE(SUBSTITUTE(E3," ",""),"/",""))</formula1>
    </dataValidation>
  </dataValidations>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92F38-691C-4403-AB66-089376D3B74B}">
  <sheetPr>
    <tabColor theme="0" tint="-0.249977111117893"/>
  </sheetPr>
  <dimension ref="B1:S20"/>
  <sheetViews>
    <sheetView showGridLines="0" showRowColHeaders="0" zoomScaleNormal="100" workbookViewId="0">
      <selection activeCell="D3" sqref="D3"/>
    </sheetView>
  </sheetViews>
  <sheetFormatPr defaultRowHeight="14.25" x14ac:dyDescent="0.2"/>
  <cols>
    <col min="1" max="1" width="9.140625" style="6"/>
    <col min="2" max="2" width="10.42578125" style="6" customWidth="1"/>
    <col min="3" max="3" width="10.28515625" style="6" customWidth="1"/>
    <col min="4" max="4" width="34" style="6" customWidth="1"/>
    <col min="5" max="5" width="36.85546875" style="6" bestFit="1" customWidth="1"/>
    <col min="6" max="6" width="9.140625" style="6" bestFit="1" customWidth="1"/>
    <col min="7" max="7" width="29.42578125" style="6" bestFit="1" customWidth="1"/>
    <col min="8" max="8" width="16.42578125" style="6" bestFit="1" customWidth="1"/>
    <col min="9" max="9" width="18.85546875" style="6" customWidth="1"/>
    <col min="10" max="10" width="15.140625" style="6" bestFit="1" customWidth="1"/>
    <col min="11" max="11" width="13.28515625" style="6" bestFit="1" customWidth="1"/>
    <col min="12" max="12" width="16" style="6" customWidth="1"/>
    <col min="13" max="13" width="14.28515625" style="6" customWidth="1"/>
    <col min="14" max="14" width="16.28515625" style="6" customWidth="1"/>
    <col min="15" max="15" width="13.28515625" style="6" customWidth="1"/>
    <col min="16" max="16" width="17.5703125" style="6" customWidth="1"/>
    <col min="17" max="17" width="13.5703125" style="6" bestFit="1" customWidth="1"/>
    <col min="18" max="18" width="19.5703125" style="6" customWidth="1"/>
    <col min="19" max="19" width="14.85546875" style="6" bestFit="1" customWidth="1"/>
    <col min="20" max="16384" width="9.140625" style="6"/>
  </cols>
  <sheetData>
    <row r="1" spans="2:19" ht="23.25" x14ac:dyDescent="0.35">
      <c r="D1" s="154" t="s">
        <v>705</v>
      </c>
      <c r="E1" s="155"/>
      <c r="F1" s="155"/>
      <c r="G1" s="155"/>
      <c r="H1" s="155"/>
      <c r="I1" s="411">
        <f>SUM(I19:I20)</f>
        <v>0</v>
      </c>
      <c r="N1" s="411">
        <f>SUM(N19:N20)</f>
        <v>0</v>
      </c>
      <c r="O1" s="159">
        <f t="shared" ref="O1:R1" si="0">SUM(O19:O20)</f>
        <v>0</v>
      </c>
      <c r="P1" s="411">
        <f t="shared" si="0"/>
        <v>0</v>
      </c>
      <c r="Q1" s="160">
        <f t="shared" si="0"/>
        <v>0</v>
      </c>
      <c r="R1" s="411">
        <f t="shared" si="0"/>
        <v>0</v>
      </c>
      <c r="S1" s="161" t="str">
        <f>IFERROR(R1/P1,"")</f>
        <v/>
      </c>
    </row>
    <row r="2" spans="2:19" ht="47.25" x14ac:dyDescent="0.2">
      <c r="B2" s="156" t="s">
        <v>42</v>
      </c>
      <c r="C2" s="156" t="s">
        <v>43</v>
      </c>
      <c r="D2" s="156" t="s">
        <v>706</v>
      </c>
      <c r="E2" s="156" t="s">
        <v>707</v>
      </c>
      <c r="F2" s="156" t="s">
        <v>52</v>
      </c>
      <c r="G2" s="156" t="s">
        <v>708</v>
      </c>
      <c r="H2" s="156" t="s">
        <v>695</v>
      </c>
      <c r="I2" s="156" t="s">
        <v>697</v>
      </c>
      <c r="J2" s="156" t="s">
        <v>709</v>
      </c>
      <c r="K2" s="156" t="s">
        <v>704</v>
      </c>
      <c r="L2" s="156" t="s">
        <v>710</v>
      </c>
      <c r="M2" s="156" t="s">
        <v>711</v>
      </c>
      <c r="N2" s="156" t="s">
        <v>698</v>
      </c>
      <c r="O2" s="156" t="s">
        <v>699</v>
      </c>
      <c r="P2" s="156" t="s">
        <v>700</v>
      </c>
      <c r="Q2" s="156" t="s">
        <v>701</v>
      </c>
      <c r="R2" s="156" t="s">
        <v>702</v>
      </c>
      <c r="S2" s="156" t="s">
        <v>703</v>
      </c>
    </row>
    <row r="3" spans="2:19" s="157" customFormat="1" ht="15" x14ac:dyDescent="0.25">
      <c r="B3" s="162" t="str">
        <f>IF(ISBLANK($D3)=TRUE,"",Lookups!$F$39)</f>
        <v/>
      </c>
      <c r="C3" s="162" t="s">
        <v>48</v>
      </c>
      <c r="D3" s="169"/>
      <c r="E3" s="169"/>
      <c r="F3" s="170"/>
      <c r="G3" s="163" t="str" cm="1">
        <f t="array" ref="G3">IFERROR(INDEX(Lookups!$N$195:$N$217,MATCH(1,('Ext. LPD'!$D3=Lookups!$J$195:$J$217)*('Ext. LPD'!$E3=Lookups!$K$195:$K$217),0)),"")</f>
        <v/>
      </c>
      <c r="H3" s="170"/>
      <c r="I3" s="412"/>
      <c r="J3" s="164" t="str" cm="1">
        <f t="array" ref="J3">IFERROR(INDEX(Lookups!$L$195:$L$217,MATCH(1,('Ext. LPD'!$D3=Lookups!$J$195:$J$217)*('Ext. LPD'!$E3=Lookups!$K$195:$K$217),0)),"")</f>
        <v/>
      </c>
      <c r="K3" s="164" t="str">
        <f>IFERROR(H3/F3,"")</f>
        <v/>
      </c>
      <c r="L3" s="164" t="str" cm="1">
        <f t="array" ref="L3">IFERROR(INDEX(Lookups!$M$195:$M$217,MATCH(1,('Ext. LPD'!$D3=Lookups!$J$195:$J$217)*('Ext. LPD'!$E3=Lookups!$K$195:$K$217),0)),"")</f>
        <v/>
      </c>
      <c r="M3" s="165" t="str">
        <f>IFERROR($L3*$F3,"")</f>
        <v/>
      </c>
      <c r="N3" s="171" t="str">
        <f>IFERROR($O3*VLOOKUP(Input_ProgramType,Lookups!$J$184:$K$186,2,FALSE),"")</f>
        <v/>
      </c>
      <c r="O3" s="172" t="str">
        <f>IFERROR(IF($J3=$G$20,($M3-$H3)/1000*Value_ExtLtgAOH,""),"")</f>
        <v/>
      </c>
      <c r="P3" s="171" t="str">
        <f t="shared" ref="P3:P19" si="1">IFERROR($O3*VLOOKUP(Input_ProgramType,Table_kWhCost,2,FALSE),"")</f>
        <v/>
      </c>
      <c r="Q3" s="173" t="str">
        <f t="shared" ref="Q3:Q18" si="2">IFERROR(IF($J3=$G$20,($M3-$H3)/1000*Value_ExtLtgCF,""),"")</f>
        <v/>
      </c>
      <c r="R3" s="171" t="str">
        <f>IF(ISNUMBER($N3)=TRUE,$I3-$N3,"")</f>
        <v/>
      </c>
      <c r="S3" s="174" t="str">
        <f>IFERROR(R3/P3,"")</f>
        <v/>
      </c>
    </row>
    <row r="4" spans="2:19" s="157" customFormat="1" ht="15" x14ac:dyDescent="0.25">
      <c r="B4" s="162" t="str">
        <f>IF(ISBLANK($D4)=TRUE,"",Lookups!$F$39)</f>
        <v/>
      </c>
      <c r="C4" s="162" t="s">
        <v>48</v>
      </c>
      <c r="D4" s="169"/>
      <c r="E4" s="169"/>
      <c r="F4" s="170"/>
      <c r="G4" s="163" t="str" cm="1">
        <f t="array" ref="G4">IFERROR(INDEX(Lookups!$N$195:$N$217,MATCH(1,('Ext. LPD'!$D4=Lookups!$J$195:$J$217)*('Ext. LPD'!$E4=Lookups!$K$195:$K$217),0)),"")</f>
        <v/>
      </c>
      <c r="H4" s="170"/>
      <c r="I4" s="412"/>
      <c r="J4" s="164" t="str" cm="1">
        <f t="array" ref="J4">IFERROR(INDEX(Lookups!$L$195:$L$217,MATCH(1,('Ext. LPD'!$D4=Lookups!$J$195:$J$217)*('Ext. LPD'!$E4=Lookups!$K$195:$K$217),0)),"")</f>
        <v/>
      </c>
      <c r="K4" s="164" t="str">
        <f t="shared" ref="K4:K12" si="3">IFERROR(H4/F4,"")</f>
        <v/>
      </c>
      <c r="L4" s="164" t="str" cm="1">
        <f t="array" ref="L4">IFERROR(INDEX(Lookups!$M$195:$M$217,MATCH(1,('Ext. LPD'!$D4=Lookups!$J$195:$J$217)*('Ext. LPD'!$E4=Lookups!$K$195:$K$217),0)),"")</f>
        <v/>
      </c>
      <c r="M4" s="165" t="str">
        <f t="shared" ref="M4:M17" si="4">IFERROR($L4*$F4,"")</f>
        <v/>
      </c>
      <c r="N4" s="171" t="str">
        <f>IFERROR($O4*VLOOKUP(Input_ProgramType,Lookups!$J$184:$K$186,2,FALSE),"")</f>
        <v/>
      </c>
      <c r="O4" s="172" t="str">
        <f t="shared" ref="O4:O18" si="5">IFERROR(IF($J4=$G$20,($M4-$H4)/1000*Value_ExtLtgAOH,""),"")</f>
        <v/>
      </c>
      <c r="P4" s="171" t="str">
        <f t="shared" si="1"/>
        <v/>
      </c>
      <c r="Q4" s="173" t="str">
        <f t="shared" si="2"/>
        <v/>
      </c>
      <c r="R4" s="171" t="str">
        <f t="shared" ref="R4:R19" si="6">IF(ISNUMBER($N4)=TRUE,$I4-$N4,"")</f>
        <v/>
      </c>
      <c r="S4" s="174" t="str">
        <f t="shared" ref="S4:S19" si="7">IFERROR(R4/P4,"")</f>
        <v/>
      </c>
    </row>
    <row r="5" spans="2:19" s="157" customFormat="1" ht="15" x14ac:dyDescent="0.25">
      <c r="B5" s="162" t="str">
        <f>IF(ISBLANK($D5)=TRUE,"",Lookups!$F$39)</f>
        <v/>
      </c>
      <c r="C5" s="162" t="s">
        <v>48</v>
      </c>
      <c r="D5" s="169"/>
      <c r="E5" s="169"/>
      <c r="F5" s="170"/>
      <c r="G5" s="163" t="str" cm="1">
        <f t="array" ref="G5">IFERROR(INDEX(Lookups!$N$195:$N$217,MATCH(1,('Ext. LPD'!$D5=Lookups!$J$195:$J$217)*('Ext. LPD'!$E5=Lookups!$K$195:$K$217),0)),"")</f>
        <v/>
      </c>
      <c r="H5" s="170"/>
      <c r="I5" s="412"/>
      <c r="J5" s="164" t="str" cm="1">
        <f t="array" ref="J5">IFERROR(INDEX(Lookups!$L$195:$L$217,MATCH(1,('Ext. LPD'!$D5=Lookups!$J$195:$J$217)*('Ext. LPD'!$E5=Lookups!$K$195:$K$217),0)),"")</f>
        <v/>
      </c>
      <c r="K5" s="164" t="str">
        <f t="shared" si="3"/>
        <v/>
      </c>
      <c r="L5" s="164" t="str" cm="1">
        <f t="array" ref="L5">IFERROR(INDEX(Lookups!$M$195:$M$217,MATCH(1,('Ext. LPD'!$D5=Lookups!$J$195:$J$217)*('Ext. LPD'!$E5=Lookups!$K$195:$K$217),0)),"")</f>
        <v/>
      </c>
      <c r="M5" s="165" t="str">
        <f t="shared" si="4"/>
        <v/>
      </c>
      <c r="N5" s="171" t="str">
        <f>IFERROR($O5*VLOOKUP(Input_ProgramType,Lookups!$J$184:$K$186,2,FALSE),"")</f>
        <v/>
      </c>
      <c r="O5" s="172" t="str">
        <f t="shared" si="5"/>
        <v/>
      </c>
      <c r="P5" s="171" t="str">
        <f t="shared" si="1"/>
        <v/>
      </c>
      <c r="Q5" s="173" t="str">
        <f t="shared" si="2"/>
        <v/>
      </c>
      <c r="R5" s="171" t="str">
        <f t="shared" si="6"/>
        <v/>
      </c>
      <c r="S5" s="174" t="str">
        <f t="shared" si="7"/>
        <v/>
      </c>
    </row>
    <row r="6" spans="2:19" s="157" customFormat="1" ht="15" x14ac:dyDescent="0.25">
      <c r="B6" s="162" t="str">
        <f>IF(ISBLANK($D6)=TRUE,"",Lookups!$F$39)</f>
        <v/>
      </c>
      <c r="C6" s="162" t="s">
        <v>48</v>
      </c>
      <c r="D6" s="169"/>
      <c r="E6" s="169"/>
      <c r="F6" s="170"/>
      <c r="G6" s="163" t="str" cm="1">
        <f t="array" ref="G6">IFERROR(INDEX(Lookups!$N$195:$N$217,MATCH(1,('Ext. LPD'!$D6=Lookups!$J$195:$J$217)*('Ext. LPD'!$E6=Lookups!$K$195:$K$217),0)),"")</f>
        <v/>
      </c>
      <c r="H6" s="170"/>
      <c r="I6" s="412"/>
      <c r="J6" s="164" t="str" cm="1">
        <f t="array" ref="J6">IFERROR(INDEX(Lookups!$L$195:$L$217,MATCH(1,('Ext. LPD'!$D6=Lookups!$J$195:$J$217)*('Ext. LPD'!$E6=Lookups!$K$195:$K$217),0)),"")</f>
        <v/>
      </c>
      <c r="K6" s="164" t="str">
        <f t="shared" si="3"/>
        <v/>
      </c>
      <c r="L6" s="164" t="str" cm="1">
        <f t="array" ref="L6">IFERROR(INDEX(Lookups!$M$195:$M$217,MATCH(1,('Ext. LPD'!$D6=Lookups!$J$195:$J$217)*('Ext. LPD'!$E6=Lookups!$K$195:$K$217),0)),"")</f>
        <v/>
      </c>
      <c r="M6" s="165" t="str">
        <f t="shared" si="4"/>
        <v/>
      </c>
      <c r="N6" s="171" t="str">
        <f>IFERROR($O6*VLOOKUP(Input_ProgramType,Lookups!$J$184:$K$186,2,FALSE),"")</f>
        <v/>
      </c>
      <c r="O6" s="172" t="str">
        <f t="shared" si="5"/>
        <v/>
      </c>
      <c r="P6" s="171" t="str">
        <f t="shared" si="1"/>
        <v/>
      </c>
      <c r="Q6" s="173" t="str">
        <f t="shared" si="2"/>
        <v/>
      </c>
      <c r="R6" s="171" t="str">
        <f t="shared" si="6"/>
        <v/>
      </c>
      <c r="S6" s="174" t="str">
        <f t="shared" si="7"/>
        <v/>
      </c>
    </row>
    <row r="7" spans="2:19" s="157" customFormat="1" ht="15" x14ac:dyDescent="0.25">
      <c r="B7" s="162" t="str">
        <f>IF(ISBLANK($D7)=TRUE,"",Lookups!$F$39)</f>
        <v/>
      </c>
      <c r="C7" s="162" t="s">
        <v>48</v>
      </c>
      <c r="D7" s="169"/>
      <c r="E7" s="169"/>
      <c r="F7" s="170"/>
      <c r="G7" s="163" t="str" cm="1">
        <f t="array" ref="G7">IFERROR(INDEX(Lookups!$N$195:$N$217,MATCH(1,('Ext. LPD'!$D7=Lookups!$J$195:$J$217)*('Ext. LPD'!$E7=Lookups!$K$195:$K$217),0)),"")</f>
        <v/>
      </c>
      <c r="H7" s="170"/>
      <c r="I7" s="412"/>
      <c r="J7" s="164" t="str" cm="1">
        <f t="array" ref="J7">IFERROR(INDEX(Lookups!$L$195:$L$217,MATCH(1,('Ext. LPD'!$D7=Lookups!$J$195:$J$217)*('Ext. LPD'!$E7=Lookups!$K$195:$K$217),0)),"")</f>
        <v/>
      </c>
      <c r="K7" s="164" t="str">
        <f t="shared" si="3"/>
        <v/>
      </c>
      <c r="L7" s="164" t="str" cm="1">
        <f t="array" ref="L7">IFERROR(INDEX(Lookups!$M$195:$M$217,MATCH(1,('Ext. LPD'!$D7=Lookups!$J$195:$J$217)*('Ext. LPD'!$E7=Lookups!$K$195:$K$217),0)),"")</f>
        <v/>
      </c>
      <c r="M7" s="165" t="str">
        <f t="shared" si="4"/>
        <v/>
      </c>
      <c r="N7" s="171" t="str">
        <f>IFERROR($O7*VLOOKUP(Input_ProgramType,Lookups!$J$184:$K$186,2,FALSE),"")</f>
        <v/>
      </c>
      <c r="O7" s="172" t="str">
        <f t="shared" si="5"/>
        <v/>
      </c>
      <c r="P7" s="171" t="str">
        <f t="shared" si="1"/>
        <v/>
      </c>
      <c r="Q7" s="173" t="str">
        <f t="shared" si="2"/>
        <v/>
      </c>
      <c r="R7" s="171" t="str">
        <f t="shared" si="6"/>
        <v/>
      </c>
      <c r="S7" s="174" t="str">
        <f t="shared" si="7"/>
        <v/>
      </c>
    </row>
    <row r="8" spans="2:19" s="157" customFormat="1" ht="15" x14ac:dyDescent="0.25">
      <c r="B8" s="162" t="str">
        <f>IF(ISBLANK($D8)=TRUE,"",Lookups!$F$39)</f>
        <v/>
      </c>
      <c r="C8" s="162" t="s">
        <v>48</v>
      </c>
      <c r="D8" s="169"/>
      <c r="E8" s="169"/>
      <c r="F8" s="170"/>
      <c r="G8" s="163" t="str" cm="1">
        <f t="array" ref="G8">IFERROR(INDEX(Lookups!$N$195:$N$217,MATCH(1,('Ext. LPD'!$D8=Lookups!$J$195:$J$217)*('Ext. LPD'!$E8=Lookups!$K$195:$K$217),0)),"")</f>
        <v/>
      </c>
      <c r="H8" s="170"/>
      <c r="I8" s="412"/>
      <c r="J8" s="164" t="str" cm="1">
        <f t="array" ref="J8">IFERROR(INDEX(Lookups!$L$195:$L$217,MATCH(1,('Ext. LPD'!$D8=Lookups!$J$195:$J$217)*('Ext. LPD'!$E8=Lookups!$K$195:$K$217),0)),"")</f>
        <v/>
      </c>
      <c r="K8" s="164" t="str">
        <f t="shared" si="3"/>
        <v/>
      </c>
      <c r="L8" s="164" t="str" cm="1">
        <f t="array" ref="L8">IFERROR(INDEX(Lookups!$M$195:$M$217,MATCH(1,('Ext. LPD'!$D8=Lookups!$J$195:$J$217)*('Ext. LPD'!$E8=Lookups!$K$195:$K$217),0)),"")</f>
        <v/>
      </c>
      <c r="M8" s="165" t="str">
        <f t="shared" si="4"/>
        <v/>
      </c>
      <c r="N8" s="171" t="str">
        <f>IFERROR($O8*VLOOKUP(Input_ProgramType,Lookups!$J$184:$K$186,2,FALSE),"")</f>
        <v/>
      </c>
      <c r="O8" s="172" t="str">
        <f t="shared" si="5"/>
        <v/>
      </c>
      <c r="P8" s="171" t="str">
        <f t="shared" si="1"/>
        <v/>
      </c>
      <c r="Q8" s="173" t="str">
        <f t="shared" si="2"/>
        <v/>
      </c>
      <c r="R8" s="171" t="str">
        <f t="shared" si="6"/>
        <v/>
      </c>
      <c r="S8" s="174" t="str">
        <f t="shared" si="7"/>
        <v/>
      </c>
    </row>
    <row r="9" spans="2:19" s="157" customFormat="1" ht="15" x14ac:dyDescent="0.25">
      <c r="B9" s="162" t="str">
        <f>IF(ISBLANK($D9)=TRUE,"",Lookups!$F$39)</f>
        <v/>
      </c>
      <c r="C9" s="162" t="s">
        <v>48</v>
      </c>
      <c r="D9" s="169"/>
      <c r="E9" s="169"/>
      <c r="F9" s="170"/>
      <c r="G9" s="163" t="str" cm="1">
        <f t="array" ref="G9">IFERROR(INDEX(Lookups!$N$195:$N$217,MATCH(1,('Ext. LPD'!$D9=Lookups!$J$195:$J$217)*('Ext. LPD'!$E9=Lookups!$K$195:$K$217),0)),"")</f>
        <v/>
      </c>
      <c r="H9" s="170"/>
      <c r="I9" s="412"/>
      <c r="J9" s="164" t="str" cm="1">
        <f t="array" ref="J9">IFERROR(INDEX(Lookups!$L$195:$L$217,MATCH(1,('Ext. LPD'!$D9=Lookups!$J$195:$J$217)*('Ext. LPD'!$E9=Lookups!$K$195:$K$217),0)),"")</f>
        <v/>
      </c>
      <c r="K9" s="164" t="str">
        <f t="shared" si="3"/>
        <v/>
      </c>
      <c r="L9" s="164" t="str" cm="1">
        <f t="array" ref="L9">IFERROR(INDEX(Lookups!$M$195:$M$217,MATCH(1,('Ext. LPD'!$D9=Lookups!$J$195:$J$217)*('Ext. LPD'!$E9=Lookups!$K$195:$K$217),0)),"")</f>
        <v/>
      </c>
      <c r="M9" s="165" t="str">
        <f>IFERROR($L9*$F9,"")</f>
        <v/>
      </c>
      <c r="N9" s="171" t="str">
        <f>IFERROR($O9*VLOOKUP(Input_ProgramType,Lookups!$J$184:$K$186,2,FALSE),"")</f>
        <v/>
      </c>
      <c r="O9" s="172" t="str">
        <f t="shared" si="5"/>
        <v/>
      </c>
      <c r="P9" s="171" t="str">
        <f t="shared" si="1"/>
        <v/>
      </c>
      <c r="Q9" s="173" t="str">
        <f t="shared" si="2"/>
        <v/>
      </c>
      <c r="R9" s="171" t="str">
        <f t="shared" si="6"/>
        <v/>
      </c>
      <c r="S9" s="174" t="str">
        <f t="shared" si="7"/>
        <v/>
      </c>
    </row>
    <row r="10" spans="2:19" s="157" customFormat="1" ht="15" x14ac:dyDescent="0.25">
      <c r="B10" s="162" t="str">
        <f>IF(ISBLANK($D10)=TRUE,"",Lookups!$F$39)</f>
        <v/>
      </c>
      <c r="C10" s="162" t="s">
        <v>48</v>
      </c>
      <c r="D10" s="169"/>
      <c r="E10" s="169"/>
      <c r="F10" s="170"/>
      <c r="G10" s="163" t="str" cm="1">
        <f t="array" ref="G10">IFERROR(INDEX(Lookups!$N$195:$N$217,MATCH(1,('Ext. LPD'!$D10=Lookups!$J$195:$J$217)*('Ext. LPD'!$E10=Lookups!$K$195:$K$217),0)),"")</f>
        <v/>
      </c>
      <c r="H10" s="170"/>
      <c r="I10" s="412"/>
      <c r="J10" s="164" t="str" cm="1">
        <f t="array" ref="J10">IFERROR(INDEX(Lookups!$L$195:$L$217,MATCH(1,('Ext. LPD'!$D10=Lookups!$J$195:$J$217)*('Ext. LPD'!$E10=Lookups!$K$195:$K$217),0)),"")</f>
        <v/>
      </c>
      <c r="K10" s="164" t="str">
        <f t="shared" si="3"/>
        <v/>
      </c>
      <c r="L10" s="164" t="str" cm="1">
        <f t="array" ref="L10">IFERROR(INDEX(Lookups!$M$195:$M$217,MATCH(1,('Ext. LPD'!$D10=Lookups!$J$195:$J$217)*('Ext. LPD'!$E10=Lookups!$K$195:$K$217),0)),"")</f>
        <v/>
      </c>
      <c r="M10" s="165" t="str">
        <f t="shared" si="4"/>
        <v/>
      </c>
      <c r="N10" s="171" t="str">
        <f>IFERROR($O10*VLOOKUP(Input_ProgramType,Lookups!$J$184:$K$186,2,FALSE),"")</f>
        <v/>
      </c>
      <c r="O10" s="172" t="str">
        <f t="shared" si="5"/>
        <v/>
      </c>
      <c r="P10" s="171" t="str">
        <f t="shared" si="1"/>
        <v/>
      </c>
      <c r="Q10" s="173" t="str">
        <f t="shared" si="2"/>
        <v/>
      </c>
      <c r="R10" s="171" t="str">
        <f t="shared" si="6"/>
        <v/>
      </c>
      <c r="S10" s="174" t="str">
        <f t="shared" si="7"/>
        <v/>
      </c>
    </row>
    <row r="11" spans="2:19" s="157" customFormat="1" ht="15" x14ac:dyDescent="0.25">
      <c r="B11" s="162" t="str">
        <f>IF(ISBLANK($D11)=TRUE,"",Lookups!$F$39)</f>
        <v/>
      </c>
      <c r="C11" s="162" t="s">
        <v>48</v>
      </c>
      <c r="D11" s="169"/>
      <c r="E11" s="169"/>
      <c r="F11" s="170"/>
      <c r="G11" s="163" t="str" cm="1">
        <f t="array" ref="G11">IFERROR(INDEX(Lookups!$N$195:$N$217,MATCH(1,('Ext. LPD'!$D11=Lookups!$J$195:$J$217)*('Ext. LPD'!$E11=Lookups!$K$195:$K$217),0)),"")</f>
        <v/>
      </c>
      <c r="H11" s="170"/>
      <c r="I11" s="412"/>
      <c r="J11" s="164" t="str" cm="1">
        <f t="array" ref="J11">IFERROR(INDEX(Lookups!$L$195:$L$217,MATCH(1,('Ext. LPD'!$D11=Lookups!$J$195:$J$217)*('Ext. LPD'!$E11=Lookups!$K$195:$K$217),0)),"")</f>
        <v/>
      </c>
      <c r="K11" s="164" t="str">
        <f t="shared" si="3"/>
        <v/>
      </c>
      <c r="L11" s="164" t="str" cm="1">
        <f t="array" ref="L11">IFERROR(INDEX(Lookups!$M$195:$M$217,MATCH(1,('Ext. LPD'!$D11=Lookups!$J$195:$J$217)*('Ext. LPD'!$E11=Lookups!$K$195:$K$217),0)),"")</f>
        <v/>
      </c>
      <c r="M11" s="165" t="str">
        <f>IFERROR($L11*$F11,"")</f>
        <v/>
      </c>
      <c r="N11" s="171" t="str">
        <f>IFERROR($O11*VLOOKUP(Input_ProgramType,Lookups!$J$184:$K$186,2,FALSE),"")</f>
        <v/>
      </c>
      <c r="O11" s="172" t="str">
        <f t="shared" si="5"/>
        <v/>
      </c>
      <c r="P11" s="171" t="str">
        <f t="shared" si="1"/>
        <v/>
      </c>
      <c r="Q11" s="173" t="str">
        <f t="shared" si="2"/>
        <v/>
      </c>
      <c r="R11" s="171" t="str">
        <f t="shared" si="6"/>
        <v/>
      </c>
      <c r="S11" s="174" t="str">
        <f t="shared" si="7"/>
        <v/>
      </c>
    </row>
    <row r="12" spans="2:19" s="157" customFormat="1" ht="15" x14ac:dyDescent="0.25">
      <c r="B12" s="162" t="str">
        <f>IF(ISBLANK($D12)=TRUE,"",Lookups!$F$39)</f>
        <v/>
      </c>
      <c r="C12" s="162" t="s">
        <v>48</v>
      </c>
      <c r="D12" s="169"/>
      <c r="E12" s="169"/>
      <c r="F12" s="170"/>
      <c r="G12" s="163" t="str" cm="1">
        <f t="array" ref="G12">IFERROR(INDEX(Lookups!$N$195:$N$217,MATCH(1,('Ext. LPD'!$D12=Lookups!$J$195:$J$217)*('Ext. LPD'!$E12=Lookups!$K$195:$K$217),0)),"")</f>
        <v/>
      </c>
      <c r="H12" s="170"/>
      <c r="I12" s="412"/>
      <c r="J12" s="164" t="str" cm="1">
        <f t="array" ref="J12">IFERROR(INDEX(Lookups!$L$195:$L$217,MATCH(1,('Ext. LPD'!$D12=Lookups!$J$195:$J$217)*('Ext. LPD'!$E12=Lookups!$K$195:$K$217),0)),"")</f>
        <v/>
      </c>
      <c r="K12" s="164" t="str">
        <f t="shared" si="3"/>
        <v/>
      </c>
      <c r="L12" s="164" t="str" cm="1">
        <f t="array" ref="L12">IFERROR(INDEX(Lookups!$M$195:$M$217,MATCH(1,('Ext. LPD'!$D12=Lookups!$J$195:$J$217)*('Ext. LPD'!$E12=Lookups!$K$195:$K$217),0)),"")</f>
        <v/>
      </c>
      <c r="M12" s="165" t="str">
        <f>IFERROR($L12*$F12,"")</f>
        <v/>
      </c>
      <c r="N12" s="171" t="str">
        <f>IFERROR($O12*VLOOKUP(Input_ProgramType,Lookups!$J$184:$K$186,2,FALSE),"")</f>
        <v/>
      </c>
      <c r="O12" s="172" t="str">
        <f t="shared" si="5"/>
        <v/>
      </c>
      <c r="P12" s="171" t="str">
        <f t="shared" si="1"/>
        <v/>
      </c>
      <c r="Q12" s="173" t="str">
        <f t="shared" si="2"/>
        <v/>
      </c>
      <c r="R12" s="171" t="str">
        <f t="shared" si="6"/>
        <v/>
      </c>
      <c r="S12" s="174" t="str">
        <f t="shared" si="7"/>
        <v/>
      </c>
    </row>
    <row r="13" spans="2:19" ht="15" x14ac:dyDescent="0.2">
      <c r="B13" s="162" t="str">
        <f>IF(ISBLANK($D13)=TRUE,"",Lookups!$F$39)</f>
        <v/>
      </c>
      <c r="C13" s="162" t="s">
        <v>48</v>
      </c>
      <c r="D13" s="169"/>
      <c r="E13" s="169"/>
      <c r="F13" s="170"/>
      <c r="G13" s="163" t="str" cm="1">
        <f t="array" ref="G13">IFERROR(INDEX(Lookups!$N$195:$N$217,MATCH(1,('Ext. LPD'!$D13=Lookups!$J$195:$J$217)*('Ext. LPD'!$E13=Lookups!$K$195:$K$217),0)),"")</f>
        <v/>
      </c>
      <c r="H13" s="170"/>
      <c r="I13" s="412"/>
      <c r="J13" s="164" t="str" cm="1">
        <f t="array" ref="J13">IFERROR(INDEX(Lookups!$L$195:$L$217,MATCH(1,('Ext. LPD'!$D13=Lookups!$J$195:$J$217)*('Ext. LPD'!$E13=Lookups!$K$195:$K$217),0)),"")</f>
        <v/>
      </c>
      <c r="K13" s="164" t="str">
        <f t="shared" ref="K13:K18" si="8">IFERROR(H13/F13,"")</f>
        <v/>
      </c>
      <c r="L13" s="164" t="str" cm="1">
        <f t="array" ref="L13">IFERROR(INDEX(Lookups!$M$195:$M$217,MATCH(1,('Ext. LPD'!$D13=Lookups!$J$195:$J$217)*('Ext. LPD'!$E13=Lookups!$K$195:$K$217),0)),"")</f>
        <v/>
      </c>
      <c r="M13" s="165" t="str">
        <f>IFERROR($L13*$F13,"")</f>
        <v/>
      </c>
      <c r="N13" s="171" t="str">
        <f>IFERROR($O13*VLOOKUP(Input_ProgramType,Lookups!$J$184:$K$186,2,FALSE),"")</f>
        <v/>
      </c>
      <c r="O13" s="172" t="str">
        <f t="shared" si="5"/>
        <v/>
      </c>
      <c r="P13" s="171" t="str">
        <f t="shared" si="1"/>
        <v/>
      </c>
      <c r="Q13" s="173" t="str">
        <f t="shared" si="2"/>
        <v/>
      </c>
      <c r="R13" s="171" t="str">
        <f t="shared" si="6"/>
        <v/>
      </c>
      <c r="S13" s="174" t="str">
        <f t="shared" si="7"/>
        <v/>
      </c>
    </row>
    <row r="14" spans="2:19" ht="15" x14ac:dyDescent="0.2">
      <c r="B14" s="162" t="str">
        <f>IF(ISBLANK($D14)=TRUE,"",Lookups!$F$39)</f>
        <v/>
      </c>
      <c r="C14" s="162" t="s">
        <v>48</v>
      </c>
      <c r="D14" s="169"/>
      <c r="E14" s="169"/>
      <c r="F14" s="170"/>
      <c r="G14" s="163" t="str" cm="1">
        <f t="array" ref="G14">IFERROR(INDEX(Lookups!$N$195:$N$217,MATCH(1,('Ext. LPD'!$D14=Lookups!$J$195:$J$217)*('Ext. LPD'!$E14=Lookups!$K$195:$K$217),0)),"")</f>
        <v/>
      </c>
      <c r="H14" s="170"/>
      <c r="I14" s="412"/>
      <c r="J14" s="164" t="str" cm="1">
        <f t="array" ref="J14">IFERROR(INDEX(Lookups!$L$195:$L$217,MATCH(1,('Ext. LPD'!$D14=Lookups!$J$195:$J$217)*('Ext. LPD'!$E14=Lookups!$K$195:$K$217),0)),"")</f>
        <v/>
      </c>
      <c r="K14" s="164" t="str">
        <f t="shared" si="8"/>
        <v/>
      </c>
      <c r="L14" s="164" t="str" cm="1">
        <f t="array" ref="L14">IFERROR(INDEX(Lookups!$M$195:$M$217,MATCH(1,('Ext. LPD'!$D14=Lookups!$J$195:$J$217)*('Ext. LPD'!$E14=Lookups!$K$195:$K$217),0)),"")</f>
        <v/>
      </c>
      <c r="M14" s="165" t="str">
        <f t="shared" si="4"/>
        <v/>
      </c>
      <c r="N14" s="171" t="str">
        <f>IFERROR($O14*VLOOKUP(Input_ProgramType,Lookups!$J$184:$K$186,2,FALSE),"")</f>
        <v/>
      </c>
      <c r="O14" s="172" t="str">
        <f t="shared" si="5"/>
        <v/>
      </c>
      <c r="P14" s="171" t="str">
        <f t="shared" si="1"/>
        <v/>
      </c>
      <c r="Q14" s="173" t="str">
        <f t="shared" si="2"/>
        <v/>
      </c>
      <c r="R14" s="171" t="str">
        <f t="shared" si="6"/>
        <v/>
      </c>
      <c r="S14" s="174" t="str">
        <f t="shared" si="7"/>
        <v/>
      </c>
    </row>
    <row r="15" spans="2:19" ht="15" x14ac:dyDescent="0.2">
      <c r="B15" s="162" t="str">
        <f>IF(ISBLANK($D15)=TRUE,"",Lookups!$F$39)</f>
        <v/>
      </c>
      <c r="C15" s="162" t="s">
        <v>48</v>
      </c>
      <c r="D15" s="169"/>
      <c r="E15" s="169"/>
      <c r="F15" s="170"/>
      <c r="G15" s="163" t="str" cm="1">
        <f t="array" ref="G15">IFERROR(INDEX(Lookups!$N$195:$N$217,MATCH(1,('Ext. LPD'!$D15=Lookups!$J$195:$J$217)*('Ext. LPD'!$E15=Lookups!$K$195:$K$217),0)),"")</f>
        <v/>
      </c>
      <c r="H15" s="170"/>
      <c r="I15" s="412"/>
      <c r="J15" s="164" t="str" cm="1">
        <f t="array" ref="J15">IFERROR(INDEX(Lookups!$L$195:$L$217,MATCH(1,('Ext. LPD'!$D15=Lookups!$J$195:$J$217)*('Ext. LPD'!$E15=Lookups!$K$195:$K$217),0)),"")</f>
        <v/>
      </c>
      <c r="K15" s="164" t="str">
        <f t="shared" si="8"/>
        <v/>
      </c>
      <c r="L15" s="164" t="str" cm="1">
        <f t="array" ref="L15">IFERROR(INDEX(Lookups!$M$195:$M$217,MATCH(1,('Ext. LPD'!$D15=Lookups!$J$195:$J$217)*('Ext. LPD'!$E15=Lookups!$K$195:$K$217),0)),"")</f>
        <v/>
      </c>
      <c r="M15" s="165" t="str">
        <f t="shared" si="4"/>
        <v/>
      </c>
      <c r="N15" s="171" t="str">
        <f>IFERROR($O15*VLOOKUP(Input_ProgramType,Lookups!$J$184:$K$186,2,FALSE),"")</f>
        <v/>
      </c>
      <c r="O15" s="172" t="str">
        <f t="shared" si="5"/>
        <v/>
      </c>
      <c r="P15" s="171" t="str">
        <f t="shared" si="1"/>
        <v/>
      </c>
      <c r="Q15" s="173" t="str">
        <f t="shared" si="2"/>
        <v/>
      </c>
      <c r="R15" s="171" t="str">
        <f t="shared" si="6"/>
        <v/>
      </c>
      <c r="S15" s="174" t="str">
        <f t="shared" si="7"/>
        <v/>
      </c>
    </row>
    <row r="16" spans="2:19" ht="15" x14ac:dyDescent="0.2">
      <c r="B16" s="162" t="str">
        <f>IF(ISBLANK($D16)=TRUE,"",Lookups!$F$39)</f>
        <v/>
      </c>
      <c r="C16" s="162" t="s">
        <v>48</v>
      </c>
      <c r="D16" s="169"/>
      <c r="E16" s="169"/>
      <c r="F16" s="170"/>
      <c r="G16" s="163" t="str" cm="1">
        <f t="array" ref="G16">IFERROR(INDEX(Lookups!$N$195:$N$217,MATCH(1,('Ext. LPD'!$D16=Lookups!$J$195:$J$217)*('Ext. LPD'!$E16=Lookups!$K$195:$K$217),0)),"")</f>
        <v/>
      </c>
      <c r="H16" s="170"/>
      <c r="I16" s="412"/>
      <c r="J16" s="164" t="str" cm="1">
        <f t="array" ref="J16">IFERROR(INDEX(Lookups!$L$195:$L$217,MATCH(1,('Ext. LPD'!$D16=Lookups!$J$195:$J$217)*('Ext. LPD'!$E16=Lookups!$K$195:$K$217),0)),"")</f>
        <v/>
      </c>
      <c r="K16" s="164" t="str">
        <f t="shared" si="8"/>
        <v/>
      </c>
      <c r="L16" s="164" t="str" cm="1">
        <f t="array" ref="L16">IFERROR(INDEX(Lookups!$M$195:$M$217,MATCH(1,('Ext. LPD'!$D16=Lookups!$J$195:$J$217)*('Ext. LPD'!$E16=Lookups!$K$195:$K$217),0)),"")</f>
        <v/>
      </c>
      <c r="M16" s="165" t="str">
        <f t="shared" si="4"/>
        <v/>
      </c>
      <c r="N16" s="171" t="str">
        <f>IFERROR($O16*VLOOKUP(Input_ProgramType,Lookups!$J$184:$K$186,2,FALSE),"")</f>
        <v/>
      </c>
      <c r="O16" s="172" t="str">
        <f t="shared" si="5"/>
        <v/>
      </c>
      <c r="P16" s="171" t="str">
        <f t="shared" si="1"/>
        <v/>
      </c>
      <c r="Q16" s="173" t="str">
        <f t="shared" si="2"/>
        <v/>
      </c>
      <c r="R16" s="171" t="str">
        <f t="shared" si="6"/>
        <v/>
      </c>
      <c r="S16" s="174" t="str">
        <f t="shared" si="7"/>
        <v/>
      </c>
    </row>
    <row r="17" spans="2:19" ht="15" x14ac:dyDescent="0.2">
      <c r="B17" s="162" t="str">
        <f>IF(ISBLANK($D17)=TRUE,"",Lookups!$F$39)</f>
        <v/>
      </c>
      <c r="C17" s="162" t="s">
        <v>48</v>
      </c>
      <c r="D17" s="169"/>
      <c r="E17" s="169"/>
      <c r="F17" s="170"/>
      <c r="G17" s="163" t="str" cm="1">
        <f t="array" ref="G17">IFERROR(INDEX(Lookups!$N$195:$N$217,MATCH(1,('Ext. LPD'!$D17=Lookups!$J$195:$J$217)*('Ext. LPD'!$E17=Lookups!$K$195:$K$217),0)),"")</f>
        <v/>
      </c>
      <c r="H17" s="170"/>
      <c r="I17" s="412"/>
      <c r="J17" s="164" t="str" cm="1">
        <f t="array" ref="J17">IFERROR(INDEX(Lookups!$L$195:$L$217,MATCH(1,('Ext. LPD'!$D17=Lookups!$J$195:$J$217)*('Ext. LPD'!$E17=Lookups!$K$195:$K$217),0)),"")</f>
        <v/>
      </c>
      <c r="K17" s="164" t="str">
        <f t="shared" si="8"/>
        <v/>
      </c>
      <c r="L17" s="164" t="str" cm="1">
        <f t="array" ref="L17">IFERROR(INDEX(Lookups!$M$195:$M$217,MATCH(1,('Ext. LPD'!$D17=Lookups!$J$195:$J$217)*('Ext. LPD'!$E17=Lookups!$K$195:$K$217),0)),"")</f>
        <v/>
      </c>
      <c r="M17" s="165" t="str">
        <f t="shared" si="4"/>
        <v/>
      </c>
      <c r="N17" s="171" t="str">
        <f>IFERROR($O17*VLOOKUP(Input_ProgramType,Lookups!$J$184:$K$186,2,FALSE),"")</f>
        <v/>
      </c>
      <c r="O17" s="172" t="str">
        <f t="shared" si="5"/>
        <v/>
      </c>
      <c r="P17" s="171" t="str">
        <f t="shared" si="1"/>
        <v/>
      </c>
      <c r="Q17" s="173" t="str">
        <f t="shared" si="2"/>
        <v/>
      </c>
      <c r="R17" s="171" t="str">
        <f t="shared" si="6"/>
        <v/>
      </c>
      <c r="S17" s="174" t="str">
        <f t="shared" si="7"/>
        <v/>
      </c>
    </row>
    <row r="18" spans="2:19" ht="15" x14ac:dyDescent="0.2">
      <c r="B18" s="162" t="str">
        <f>IF(ISBLANK($D18)=TRUE,"",Lookups!$F$39)</f>
        <v/>
      </c>
      <c r="C18" s="162" t="s">
        <v>48</v>
      </c>
      <c r="D18" s="169"/>
      <c r="E18" s="169"/>
      <c r="F18" s="170"/>
      <c r="G18" s="163" t="str" cm="1">
        <f t="array" ref="G18">IFERROR(INDEX(Lookups!$N$195:$N$217,MATCH(1,('Ext. LPD'!$D18=Lookups!$J$195:$J$217)*('Ext. LPD'!$E18=Lookups!$K$195:$K$217),0)),"")</f>
        <v/>
      </c>
      <c r="H18" s="170"/>
      <c r="I18" s="412"/>
      <c r="J18" s="164" t="str" cm="1">
        <f t="array" ref="J18">IFERROR(INDEX(Lookups!$L$195:$L$217,MATCH(1,('Ext. LPD'!$D18=Lookups!$J$195:$J$217)*('Ext. LPD'!$E18=Lookups!$K$195:$K$217),0)),"")</f>
        <v/>
      </c>
      <c r="K18" s="164" t="str">
        <f t="shared" si="8"/>
        <v/>
      </c>
      <c r="L18" s="164" t="str" cm="1">
        <f t="array" ref="L18">IFERROR(INDEX(Lookups!$M$195:$M$217,MATCH(1,('Ext. LPD'!$D18=Lookups!$J$195:$J$217)*('Ext. LPD'!$E18=Lookups!$K$195:$K$217),0)),"")</f>
        <v/>
      </c>
      <c r="M18" s="165" t="str">
        <f>IFERROR($L18*$F18,"")</f>
        <v/>
      </c>
      <c r="N18" s="171" t="str">
        <f>IFERROR($O18*VLOOKUP(Input_ProgramType,Lookups!$J$184:$K$186,2,FALSE),"")</f>
        <v/>
      </c>
      <c r="O18" s="172" t="str">
        <f t="shared" si="5"/>
        <v/>
      </c>
      <c r="P18" s="171" t="str">
        <f t="shared" si="1"/>
        <v/>
      </c>
      <c r="Q18" s="173" t="str">
        <f t="shared" si="2"/>
        <v/>
      </c>
      <c r="R18" s="171" t="str">
        <f t="shared" si="6"/>
        <v/>
      </c>
      <c r="S18" s="174" t="str">
        <f t="shared" si="7"/>
        <v/>
      </c>
    </row>
    <row r="19" spans="2:19" ht="15" x14ac:dyDescent="0.25">
      <c r="G19" s="168" t="s">
        <v>54</v>
      </c>
      <c r="H19" s="166">
        <f>SUMIF($J$3:$J$18,$G19,H$3:H$18)</f>
        <v>0</v>
      </c>
      <c r="I19" s="413">
        <f>SUMIF($J$3:$J$18,$G19,I$3:I$18)</f>
        <v>0</v>
      </c>
      <c r="J19" s="158"/>
      <c r="K19" s="158"/>
      <c r="L19" s="158"/>
      <c r="M19" s="166">
        <f>SUMIF($J$3:$J$18,$G19,M$3:M$18)</f>
        <v>0</v>
      </c>
      <c r="N19" s="171" t="str">
        <f>IFERROR(O19*VLOOKUP(Input_ProgramType,Lookups!$J$184:$K$186,2,FALSE),"")</f>
        <v/>
      </c>
      <c r="O19" s="172">
        <f>IFERROR((M19-H19)/1000*Value_ExtLtgAOH,"")</f>
        <v>0</v>
      </c>
      <c r="P19" s="171" t="str">
        <f t="shared" si="1"/>
        <v/>
      </c>
      <c r="Q19" s="173">
        <f>IFERROR(($M19-$H19)/1000*Value_ExtLtgCF,"")</f>
        <v>0</v>
      </c>
      <c r="R19" s="171" t="str">
        <f t="shared" si="6"/>
        <v/>
      </c>
      <c r="S19" s="174" t="str">
        <f t="shared" si="7"/>
        <v/>
      </c>
    </row>
    <row r="20" spans="2:19" ht="15" x14ac:dyDescent="0.25">
      <c r="G20" s="168" t="s">
        <v>55</v>
      </c>
      <c r="H20" s="166">
        <f>SUMIF($J$3:$J$18,$G20,H$3:H$18)</f>
        <v>0</v>
      </c>
      <c r="I20" s="413">
        <f>SUMIF($J$3:$J$18,$G20,I$3:I$18)</f>
        <v>0</v>
      </c>
      <c r="J20" s="158"/>
      <c r="K20" s="158"/>
      <c r="L20" s="158"/>
      <c r="M20" s="167">
        <f>SUMIF($J$3:$J$18,$G20,M$3:M$18)</f>
        <v>0</v>
      </c>
      <c r="N20" s="171">
        <f>SUMIF($J$3:$J$18,$G20,N$3:N$18)</f>
        <v>0</v>
      </c>
      <c r="O20" s="172">
        <f t="shared" ref="O20:R20" si="9">SUMIF($J$3:$J$18,$G20,O$3:O$18)</f>
        <v>0</v>
      </c>
      <c r="P20" s="171">
        <f t="shared" si="9"/>
        <v>0</v>
      </c>
      <c r="Q20" s="173">
        <f t="shared" si="9"/>
        <v>0</v>
      </c>
      <c r="R20" s="171">
        <f t="shared" si="9"/>
        <v>0</v>
      </c>
      <c r="S20" s="174">
        <f>SUMIF($J$3:$J$18,$G20,S$3:S$18)</f>
        <v>0</v>
      </c>
    </row>
  </sheetData>
  <sheetProtection algorithmName="SHA-512" hashValue="htVbEp1W6KiL6J7KyuC9x0320S9GJsk40KA0dHAmxHuZyI6smCskvNLRL8Jj9TseZH85ZlkXS/yv3CCaePT0HQ==" saltValue="XSHFmPoJtw+JJ89G6V4oFw==" spinCount="100000" sheet="1" objects="1" scenarios="1"/>
  <conditionalFormatting sqref="P19 R19:S19 N3:S18">
    <cfRule type="expression" dxfId="3" priority="2">
      <formula>IF($J3="Tradeable",1,)</formula>
    </cfRule>
  </conditionalFormatting>
  <conditionalFormatting sqref="Q19">
    <cfRule type="expression" dxfId="2" priority="1">
      <formula>IF($J19="Tradeable",1,)</formula>
    </cfRule>
  </conditionalFormatting>
  <dataValidations count="2">
    <dataValidation type="list" allowBlank="1" showInputMessage="1" showErrorMessage="1" sqref="D3:D18" xr:uid="{2C1E0DFF-8056-4F89-B793-0BB914499E96}">
      <formula1>List_ExtLtgType</formula1>
    </dataValidation>
    <dataValidation type="list" allowBlank="1" showInputMessage="1" showErrorMessage="1" sqref="E3:E18" xr:uid="{3734AF10-37BB-430D-BA0E-2FCAA924C432}">
      <formula1>INDIRECT(SUBSTITUTE(SUBSTITUTE(D3," ",""),"-",""))</formula1>
    </dataValidation>
  </dataValidations>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2A8C2-33CD-4A0D-B6EC-16353B0D4D56}">
  <sheetPr>
    <tabColor rgb="FFED1653"/>
  </sheetPr>
  <dimension ref="B1:R23"/>
  <sheetViews>
    <sheetView showGridLines="0" showRowColHeaders="0" zoomScaleNormal="100" workbookViewId="0">
      <selection activeCell="G1" sqref="G1"/>
    </sheetView>
  </sheetViews>
  <sheetFormatPr defaultColWidth="9.140625" defaultRowHeight="15" x14ac:dyDescent="0.25"/>
  <cols>
    <col min="1" max="1" width="2.140625" style="4" customWidth="1"/>
    <col min="2" max="2" width="16.28515625" style="4" customWidth="1"/>
    <col min="3" max="3" width="12.42578125" style="4" customWidth="1"/>
    <col min="4" max="4" width="104" style="3" customWidth="1"/>
    <col min="5" max="5" width="17.5703125" style="3" customWidth="1"/>
    <col min="6" max="6" width="18.5703125" style="3" bestFit="1" customWidth="1"/>
    <col min="7" max="7" width="18.42578125" style="3" bestFit="1" customWidth="1"/>
    <col min="8" max="8" width="10.28515625" style="3" bestFit="1" customWidth="1"/>
    <col min="9" max="9" width="9.5703125" style="3" bestFit="1" customWidth="1"/>
    <col min="10" max="10" width="17.28515625" style="4" bestFit="1" customWidth="1"/>
    <col min="11" max="11" width="6.85546875" style="4" bestFit="1" customWidth="1"/>
    <col min="12" max="12" width="17.5703125" style="4" bestFit="1" customWidth="1"/>
    <col min="13" max="13" width="14.28515625" style="4" bestFit="1" customWidth="1"/>
    <col min="14" max="14" width="12.140625" style="98" bestFit="1" customWidth="1"/>
    <col min="15" max="15" width="11.140625" style="4" bestFit="1" customWidth="1"/>
    <col min="16" max="16" width="13.5703125" style="4" bestFit="1" customWidth="1"/>
    <col min="17" max="17" width="15.42578125" style="4" bestFit="1" customWidth="1"/>
    <col min="18" max="18" width="14.85546875" style="4" bestFit="1" customWidth="1"/>
    <col min="19" max="16384" width="9.140625" style="4"/>
  </cols>
  <sheetData>
    <row r="1" spans="2:18" s="26" customFormat="1" ht="15.75" x14ac:dyDescent="0.25">
      <c r="F1" s="177" t="s">
        <v>767</v>
      </c>
      <c r="G1" s="184"/>
      <c r="J1" s="186">
        <f>SUM(HVAC!$J$3:$J$23)</f>
        <v>0</v>
      </c>
      <c r="M1" s="186">
        <f>SUM(HVAC!$M$3:$M$23)</f>
        <v>0</v>
      </c>
      <c r="N1" s="187">
        <f>SUM(HVAC!$N$3:$N$23)</f>
        <v>0</v>
      </c>
      <c r="O1" s="186">
        <f>SUM(HVAC!$O$3:$O$23)</f>
        <v>0</v>
      </c>
      <c r="P1" s="188">
        <f>SUM(HVAC!$P$3:$P$23)</f>
        <v>0</v>
      </c>
      <c r="Q1" s="414">
        <f>J1-M1</f>
        <v>0</v>
      </c>
      <c r="R1" s="189" t="e">
        <f>Q1/O1</f>
        <v>#DIV/0!</v>
      </c>
    </row>
    <row r="2" spans="2:18" s="5" customFormat="1" ht="45" x14ac:dyDescent="0.25">
      <c r="B2" s="134" t="s">
        <v>42</v>
      </c>
      <c r="C2" s="134" t="s">
        <v>43</v>
      </c>
      <c r="D2" s="175" t="s">
        <v>825</v>
      </c>
      <c r="E2" s="134" t="s">
        <v>57</v>
      </c>
      <c r="F2" s="134" t="s">
        <v>58</v>
      </c>
      <c r="G2" s="134" t="s">
        <v>59</v>
      </c>
      <c r="H2" s="134" t="s">
        <v>60</v>
      </c>
      <c r="I2" s="134" t="s">
        <v>61</v>
      </c>
      <c r="J2" s="134" t="s">
        <v>33</v>
      </c>
      <c r="K2" s="134" t="s">
        <v>62</v>
      </c>
      <c r="L2" s="134" t="s">
        <v>63</v>
      </c>
      <c r="M2" s="134" t="s">
        <v>34</v>
      </c>
      <c r="N2" s="176" t="s">
        <v>35</v>
      </c>
      <c r="O2" s="134" t="s">
        <v>36</v>
      </c>
      <c r="P2" s="134" t="s">
        <v>37</v>
      </c>
      <c r="Q2" s="134" t="s">
        <v>38</v>
      </c>
      <c r="R2" s="134" t="s">
        <v>39</v>
      </c>
    </row>
    <row r="3" spans="2:18" x14ac:dyDescent="0.25">
      <c r="B3" s="140" t="str">
        <f>IF(ISBLANK($E3)=TRUE,"",VLOOKUP($D3,Table_Measures,5,FALSE))</f>
        <v/>
      </c>
      <c r="C3" s="141" t="s">
        <v>64</v>
      </c>
      <c r="D3" s="376" t="s">
        <v>832</v>
      </c>
      <c r="E3" s="181"/>
      <c r="F3" s="182"/>
      <c r="G3" s="182"/>
      <c r="H3" s="183"/>
      <c r="I3" s="184"/>
      <c r="J3" s="185"/>
      <c r="K3" s="190" t="str">
        <f t="shared" ref="K3:K23" si="0">IFERROR(VLOOKUP($D3,Table_Measures,4,FALSE),"")</f>
        <v/>
      </c>
      <c r="L3" s="191" t="str">
        <f>IFERROR(VLOOKUP($D3,Table_Measures,IF(Input_ProgramType=Lookups!$B$47,2,IF(Input_ProgramType=Lookups!$B$48,3)),0),"")</f>
        <v/>
      </c>
      <c r="M3" s="80" t="str">
        <f>IF(ISBLANK($I3)=TRUE,"",$L3*$I3*$E3)</f>
        <v/>
      </c>
      <c r="N3" s="97" t="str">
        <f>IFERROR(VLOOKUP($D3,Table_RTUAC,2,FALSE)*$I3,"")</f>
        <v/>
      </c>
      <c r="O3" s="81" t="str">
        <f>IFERROR(HVAC!$N3*VLOOKUP(Input_ProgramType,Table_kWhCost,2,FALSE),"")</f>
        <v/>
      </c>
      <c r="P3" s="82" t="str">
        <f>IFERROR(VLOOKUP($D3,Table_RTUAC,3,FALSE)*$I3,"")</f>
        <v/>
      </c>
      <c r="Q3" s="81" t="str">
        <f>IF(HVAC!$J3="","",HVAC!$J3-HVAC!$M3)</f>
        <v/>
      </c>
      <c r="R3" s="83" t="str">
        <f>IFERROR(HVAC!$Q3/HVAC!$O3,"")</f>
        <v/>
      </c>
    </row>
    <row r="4" spans="2:18" x14ac:dyDescent="0.25">
      <c r="B4" s="140" t="str">
        <f t="shared" ref="B4:B10" si="1">IF(ISBLANK($E4)=TRUE,"",VLOOKUP($D4,Table_Measures,5,FALSE))</f>
        <v/>
      </c>
      <c r="C4" s="141" t="s">
        <v>64</v>
      </c>
      <c r="D4" s="376" t="s">
        <v>832</v>
      </c>
      <c r="E4" s="181"/>
      <c r="F4" s="182"/>
      <c r="G4" s="182"/>
      <c r="H4" s="183"/>
      <c r="I4" s="184"/>
      <c r="J4" s="185"/>
      <c r="K4" s="190" t="str">
        <f t="shared" si="0"/>
        <v/>
      </c>
      <c r="L4" s="191" t="str">
        <f>IFERROR(VLOOKUP($D4,Table_Measures,IF(Input_ProgramType=Lookups!$B$47,2,IF(Input_ProgramType=Lookups!$B$48,3)),0),"")</f>
        <v/>
      </c>
      <c r="M4" s="80" t="str">
        <f t="shared" ref="M4:M10" si="2">IF(ISBLANK($I4)=TRUE,"",$L4*$I4*$E4)</f>
        <v/>
      </c>
      <c r="N4" s="97" t="str">
        <f>IFERROR(VLOOKUP($D4,Table_RTUAC,2,FALSE)*$I4,"")</f>
        <v/>
      </c>
      <c r="O4" s="81" t="str">
        <f>IFERROR(HVAC!$N4*VLOOKUP(Input_ProgramType,Table_kWhCost,2,FALSE),"")</f>
        <v/>
      </c>
      <c r="P4" s="82" t="str">
        <f>IFERROR(VLOOKUP($D4,Table_RTUAC,3,FALSE)*$I4,"")</f>
        <v/>
      </c>
      <c r="Q4" s="81" t="str">
        <f>IF(HVAC!$J4="","",HVAC!$J4-HVAC!$M4)</f>
        <v/>
      </c>
      <c r="R4" s="83" t="str">
        <f>IFERROR(HVAC!$Q4/HVAC!$O4,"")</f>
        <v/>
      </c>
    </row>
    <row r="5" spans="2:18" x14ac:dyDescent="0.25">
      <c r="B5" s="140" t="str">
        <f t="shared" si="1"/>
        <v/>
      </c>
      <c r="C5" s="141" t="s">
        <v>64</v>
      </c>
      <c r="D5" s="376" t="s">
        <v>832</v>
      </c>
      <c r="E5" s="181"/>
      <c r="F5" s="182"/>
      <c r="G5" s="182"/>
      <c r="H5" s="183"/>
      <c r="I5" s="184"/>
      <c r="J5" s="185"/>
      <c r="K5" s="190" t="str">
        <f>IFERROR(VLOOKUP($D5,Table_Measures,4,FALSE),"")</f>
        <v/>
      </c>
      <c r="L5" s="191" t="str">
        <f>IFERROR(VLOOKUP($D5,Table_Measures,IF(Input_ProgramType=Lookups!$B$47,2,IF(Input_ProgramType=Lookups!$B$48,3)),0),"")</f>
        <v/>
      </c>
      <c r="M5" s="80" t="str">
        <f t="shared" si="2"/>
        <v/>
      </c>
      <c r="N5" s="97" t="str">
        <f>IFERROR(VLOOKUP($D5,Table_RTUAC,2,FALSE)*$I5,"")</f>
        <v/>
      </c>
      <c r="O5" s="81" t="str">
        <f>IFERROR(HVAC!$N5*VLOOKUP(Input_ProgramType,Table_kWhCost,2,FALSE),"")</f>
        <v/>
      </c>
      <c r="P5" s="82" t="str">
        <f>IFERROR(VLOOKUP($D5,Table_RTUAC,3,FALSE)*$I5,"")</f>
        <v/>
      </c>
      <c r="Q5" s="81" t="str">
        <f>IF(HVAC!$J5="","",HVAC!$J5-HVAC!$M5)</f>
        <v/>
      </c>
      <c r="R5" s="83" t="str">
        <f>IFERROR(HVAC!$Q5/HVAC!$O5,"")</f>
        <v/>
      </c>
    </row>
    <row r="6" spans="2:18" x14ac:dyDescent="0.25">
      <c r="B6" s="140" t="str">
        <f t="shared" si="1"/>
        <v/>
      </c>
      <c r="C6" s="141" t="s">
        <v>64</v>
      </c>
      <c r="D6" s="376" t="s">
        <v>832</v>
      </c>
      <c r="E6" s="181"/>
      <c r="F6" s="182"/>
      <c r="G6" s="182"/>
      <c r="H6" s="183"/>
      <c r="I6" s="184"/>
      <c r="J6" s="185"/>
      <c r="K6" s="190" t="str">
        <f t="shared" si="0"/>
        <v/>
      </c>
      <c r="L6" s="191" t="str">
        <f>IFERROR(VLOOKUP($D6,Table_Measures,IF(Input_ProgramType=Lookups!$B$47,2,IF(Input_ProgramType=Lookups!$B$48,3)),0),"")</f>
        <v/>
      </c>
      <c r="M6" s="80" t="str">
        <f t="shared" si="2"/>
        <v/>
      </c>
      <c r="N6" s="97" t="str">
        <f>IFERROR(VLOOKUP($D6,Table_RTUAC,2,FALSE)*$I6,"")</f>
        <v/>
      </c>
      <c r="O6" s="81" t="str">
        <f>IFERROR(HVAC!$N6*VLOOKUP(Input_ProgramType,Table_kWhCost,2,FALSE),"")</f>
        <v/>
      </c>
      <c r="P6" s="82" t="str">
        <f>IFERROR(VLOOKUP($D6,Table_RTUAC,3,FALSE)*$I6,"")</f>
        <v/>
      </c>
      <c r="Q6" s="81" t="str">
        <f>IF(HVAC!$J6="","",HVAC!$J6-HVAC!$M6)</f>
        <v/>
      </c>
      <c r="R6" s="83" t="str">
        <f>IFERROR(HVAC!$Q6/HVAC!$O6,"")</f>
        <v/>
      </c>
    </row>
    <row r="7" spans="2:18" x14ac:dyDescent="0.25">
      <c r="B7" s="140" t="str">
        <f t="shared" si="1"/>
        <v/>
      </c>
      <c r="C7" s="141" t="s">
        <v>64</v>
      </c>
      <c r="D7" s="376" t="s">
        <v>833</v>
      </c>
      <c r="E7" s="181"/>
      <c r="F7" s="182"/>
      <c r="G7" s="182"/>
      <c r="H7" s="182"/>
      <c r="I7" s="184"/>
      <c r="J7" s="185"/>
      <c r="K7" s="190" t="str">
        <f t="shared" si="0"/>
        <v/>
      </c>
      <c r="L7" s="191" t="str">
        <f>IFERROR(VLOOKUP($D7,Table_Measures,IF(Input_ProgramType=Lookups!$B$47,2,IF(Input_ProgramType=Lookups!$B$48,3)),0),"")</f>
        <v/>
      </c>
      <c r="M7" s="80" t="str">
        <f t="shared" si="2"/>
        <v/>
      </c>
      <c r="N7" s="97" t="str">
        <f>IFERROR(VLOOKUP($D7,Table_RTUHP,4,FALSE)*$I7,"")</f>
        <v/>
      </c>
      <c r="O7" s="81" t="str">
        <f>IFERROR(HVAC!$N7*VLOOKUP(Input_ProgramType,Table_kWhCost,2,FALSE),"")</f>
        <v/>
      </c>
      <c r="P7" s="82" t="str">
        <f>IFERROR(VLOOKUP($D7,Table_RTUHP,5,FALSE)*$I7,"")</f>
        <v/>
      </c>
      <c r="Q7" s="81" t="str">
        <f>IF(HVAC!$J7="","",HVAC!$J7-HVAC!$M7)</f>
        <v/>
      </c>
      <c r="R7" s="83" t="str">
        <f>IFERROR(HVAC!$Q7/HVAC!$O7,"")</f>
        <v/>
      </c>
    </row>
    <row r="8" spans="2:18" x14ac:dyDescent="0.25">
      <c r="B8" s="140" t="str">
        <f t="shared" si="1"/>
        <v/>
      </c>
      <c r="C8" s="141" t="s">
        <v>64</v>
      </c>
      <c r="D8" s="376" t="s">
        <v>833</v>
      </c>
      <c r="E8" s="181"/>
      <c r="F8" s="182"/>
      <c r="G8" s="182"/>
      <c r="H8" s="182"/>
      <c r="I8" s="184"/>
      <c r="J8" s="185"/>
      <c r="K8" s="190" t="str">
        <f t="shared" si="0"/>
        <v/>
      </c>
      <c r="L8" s="191" t="str">
        <f>IFERROR(VLOOKUP($D8,Table_Measures,IF(Input_ProgramType=Lookups!$B$47,2,IF(Input_ProgramType=Lookups!$B$48,3)),0),"")</f>
        <v/>
      </c>
      <c r="M8" s="80" t="str">
        <f t="shared" si="2"/>
        <v/>
      </c>
      <c r="N8" s="97" t="str">
        <f>IFERROR(VLOOKUP($D8,Table_RTUHP,4,FALSE)*$I8,"")</f>
        <v/>
      </c>
      <c r="O8" s="81" t="str">
        <f>IFERROR(HVAC!$N8*VLOOKUP(Input_ProgramType,Table_kWhCost,2,FALSE),"")</f>
        <v/>
      </c>
      <c r="P8" s="82" t="str">
        <f>IFERROR(VLOOKUP($D8,Table_RTUHP,5,FALSE)*$I8,"")</f>
        <v/>
      </c>
      <c r="Q8" s="81" t="str">
        <f>IF(HVAC!$J8="","",HVAC!$J8-HVAC!$M8)</f>
        <v/>
      </c>
      <c r="R8" s="83" t="str">
        <f>IFERROR(HVAC!$Q8/HVAC!$O8,"")</f>
        <v/>
      </c>
    </row>
    <row r="9" spans="2:18" x14ac:dyDescent="0.25">
      <c r="B9" s="140" t="str">
        <f t="shared" si="1"/>
        <v/>
      </c>
      <c r="C9" s="141" t="s">
        <v>64</v>
      </c>
      <c r="D9" s="376" t="s">
        <v>833</v>
      </c>
      <c r="E9" s="181"/>
      <c r="F9" s="182"/>
      <c r="G9" s="182"/>
      <c r="H9" s="182"/>
      <c r="I9" s="184"/>
      <c r="J9" s="185"/>
      <c r="K9" s="190" t="str">
        <f t="shared" si="0"/>
        <v/>
      </c>
      <c r="L9" s="191" t="str">
        <f>IFERROR(VLOOKUP($D9,Table_Measures,IF(Input_ProgramType=Lookups!$B$47,2,IF(Input_ProgramType=Lookups!$B$48,3)),0),"")</f>
        <v/>
      </c>
      <c r="M9" s="80" t="str">
        <f t="shared" si="2"/>
        <v/>
      </c>
      <c r="N9" s="97" t="str">
        <f>IFERROR(VLOOKUP($D9,Table_RTUHP,4,FALSE)*$I9,"")</f>
        <v/>
      </c>
      <c r="O9" s="81" t="str">
        <f>IFERROR(HVAC!$N9*VLOOKUP(Input_ProgramType,Table_kWhCost,2,FALSE),"")</f>
        <v/>
      </c>
      <c r="P9" s="82" t="str">
        <f>IFERROR(VLOOKUP($D9,Table_RTUHP,5,FALSE)*$I9,"")</f>
        <v/>
      </c>
      <c r="Q9" s="81" t="str">
        <f>IF(HVAC!$J9="","",HVAC!$J9-HVAC!$M9)</f>
        <v/>
      </c>
      <c r="R9" s="83" t="str">
        <f>IFERROR(HVAC!$Q9/HVAC!$O9,"")</f>
        <v/>
      </c>
    </row>
    <row r="10" spans="2:18" x14ac:dyDescent="0.25">
      <c r="B10" s="140" t="str">
        <f t="shared" si="1"/>
        <v/>
      </c>
      <c r="C10" s="141" t="s">
        <v>64</v>
      </c>
      <c r="D10" s="376" t="s">
        <v>833</v>
      </c>
      <c r="E10" s="181"/>
      <c r="F10" s="182"/>
      <c r="G10" s="182"/>
      <c r="H10" s="182"/>
      <c r="I10" s="184"/>
      <c r="J10" s="185"/>
      <c r="K10" s="190" t="str">
        <f t="shared" si="0"/>
        <v/>
      </c>
      <c r="L10" s="191" t="str">
        <f>IFERROR(VLOOKUP($D10,Table_Measures,IF(Input_ProgramType=Lookups!$B$47,2,IF(Input_ProgramType=Lookups!$B$48,3)),0),"")</f>
        <v/>
      </c>
      <c r="M10" s="80" t="str">
        <f t="shared" si="2"/>
        <v/>
      </c>
      <c r="N10" s="97" t="str">
        <f>IFERROR(VLOOKUP($D10,Table_RTUHP,4,FALSE)*$I10,"")</f>
        <v/>
      </c>
      <c r="O10" s="81" t="str">
        <f>IFERROR(HVAC!$N10*VLOOKUP(Input_ProgramType,Table_kWhCost,2,FALSE),"")</f>
        <v/>
      </c>
      <c r="P10" s="82" t="str">
        <f>IFERROR(VLOOKUP($D10,Table_RTUHP,5,FALSE)*$I10,"")</f>
        <v/>
      </c>
      <c r="Q10" s="81" t="str">
        <f>IF(HVAC!$J10="","",HVAC!$J10-HVAC!$M10)</f>
        <v/>
      </c>
      <c r="R10" s="83" t="str">
        <f>IFERROR(HVAC!$Q10/HVAC!$O10,"")</f>
        <v/>
      </c>
    </row>
    <row r="11" spans="2:18" s="5" customFormat="1" ht="45" x14ac:dyDescent="0.25">
      <c r="B11" s="134" t="s">
        <v>42</v>
      </c>
      <c r="C11" s="134" t="s">
        <v>43</v>
      </c>
      <c r="D11" s="175" t="s">
        <v>826</v>
      </c>
      <c r="E11" s="134" t="s">
        <v>57</v>
      </c>
      <c r="F11" s="134" t="s">
        <v>67</v>
      </c>
      <c r="G11" s="134" t="s">
        <v>68</v>
      </c>
      <c r="H11" s="134"/>
      <c r="I11" s="134" t="s">
        <v>69</v>
      </c>
      <c r="J11" s="134" t="s">
        <v>33</v>
      </c>
      <c r="K11" s="134" t="s">
        <v>62</v>
      </c>
      <c r="L11" s="134" t="s">
        <v>63</v>
      </c>
      <c r="M11" s="134" t="s">
        <v>34</v>
      </c>
      <c r="N11" s="176" t="s">
        <v>35</v>
      </c>
      <c r="O11" s="134" t="s">
        <v>36</v>
      </c>
      <c r="P11" s="134" t="s">
        <v>37</v>
      </c>
      <c r="Q11" s="134" t="s">
        <v>38</v>
      </c>
      <c r="R11" s="134" t="s">
        <v>39</v>
      </c>
    </row>
    <row r="12" spans="2:18" x14ac:dyDescent="0.25">
      <c r="B12" s="140" t="str">
        <f t="shared" ref="B12:B20" si="3">IF(ISBLANK($E12)=TRUE,"",VLOOKUP($D12,Table_Measures,5,FALSE))</f>
        <v/>
      </c>
      <c r="C12" s="141" t="s">
        <v>64</v>
      </c>
      <c r="D12" s="376" t="s">
        <v>834</v>
      </c>
      <c r="E12" s="179"/>
      <c r="F12" s="180"/>
      <c r="G12" s="180"/>
      <c r="H12" s="183"/>
      <c r="I12" s="184"/>
      <c r="J12" s="185"/>
      <c r="K12" s="190" t="str">
        <f t="shared" si="0"/>
        <v/>
      </c>
      <c r="L12" s="191" t="str">
        <f>IFERROR(VLOOKUP($D12,Table_Measures,IF(Input_ProgramType=Lookups!$B$47,2,IF(Input_ProgramType=Lookups!$B$48,3)),0),"")</f>
        <v/>
      </c>
      <c r="M12" s="80" t="str">
        <f>IF(ISBLANK($I12)=TRUE,"",$L12*$I12*$E12)</f>
        <v/>
      </c>
      <c r="N12" s="97" t="str">
        <f t="shared" ref="N12:N20" si="4">IF(G12="","",IF(ISBLANK($I12)=TRUE,"",VLOOKUP($D12,Table_Chillers,2,FALSE)*$I12))</f>
        <v/>
      </c>
      <c r="O12" s="81" t="str">
        <f>IFERROR(HVAC!$N12*VLOOKUP(Input_ProgramType,Table_kWhCost,2,FALSE),"")</f>
        <v/>
      </c>
      <c r="P12" s="82" t="str">
        <f t="shared" ref="P12:P20" si="5">IF(F12="","",IF(ISBLANK($E12)=TRUE,"",VLOOKUP($D12,Table_Chillers,3,FALSE)))</f>
        <v/>
      </c>
      <c r="Q12" s="81" t="str">
        <f>IF(HVAC!$J12="","",HVAC!$J12-HVAC!$M12)</f>
        <v/>
      </c>
      <c r="R12" s="83" t="str">
        <f>IFERROR(HVAC!$Q12/HVAC!$O12,"")</f>
        <v/>
      </c>
    </row>
    <row r="13" spans="2:18" x14ac:dyDescent="0.25">
      <c r="B13" s="140" t="str">
        <f t="shared" si="3"/>
        <v/>
      </c>
      <c r="C13" s="141" t="s">
        <v>64</v>
      </c>
      <c r="D13" s="376" t="s">
        <v>834</v>
      </c>
      <c r="E13" s="179"/>
      <c r="F13" s="180"/>
      <c r="G13" s="180"/>
      <c r="H13" s="183"/>
      <c r="I13" s="184"/>
      <c r="J13" s="185"/>
      <c r="K13" s="190" t="str">
        <f t="shared" si="0"/>
        <v/>
      </c>
      <c r="L13" s="191" t="str">
        <f>IFERROR(VLOOKUP($D13,Table_Measures,IF(Input_ProgramType=Lookups!$B$47,2,IF(Input_ProgramType=Lookups!$B$48,3)),0),"")</f>
        <v/>
      </c>
      <c r="M13" s="80" t="str">
        <f t="shared" ref="M13:M20" si="6">IF(ISBLANK($I13)=TRUE,"",$L13*$I13*$E13)</f>
        <v/>
      </c>
      <c r="N13" s="97" t="str">
        <f t="shared" si="4"/>
        <v/>
      </c>
      <c r="O13" s="81" t="str">
        <f>IFERROR(HVAC!$N13*VLOOKUP(Input_ProgramType,Table_kWhCost,2,FALSE),"")</f>
        <v/>
      </c>
      <c r="P13" s="82" t="str">
        <f t="shared" si="5"/>
        <v/>
      </c>
      <c r="Q13" s="81" t="str">
        <f>IF(HVAC!$J13="","",HVAC!$J13-HVAC!$M13)</f>
        <v/>
      </c>
      <c r="R13" s="83" t="str">
        <f>IFERROR(HVAC!$Q13/HVAC!$O13,"")</f>
        <v/>
      </c>
    </row>
    <row r="14" spans="2:18" x14ac:dyDescent="0.25">
      <c r="B14" s="140" t="str">
        <f t="shared" si="3"/>
        <v/>
      </c>
      <c r="C14" s="141" t="s">
        <v>64</v>
      </c>
      <c r="D14" s="376" t="s">
        <v>834</v>
      </c>
      <c r="E14" s="179"/>
      <c r="F14" s="180"/>
      <c r="G14" s="180"/>
      <c r="H14" s="183"/>
      <c r="I14" s="184"/>
      <c r="J14" s="185"/>
      <c r="K14" s="190" t="str">
        <f t="shared" si="0"/>
        <v/>
      </c>
      <c r="L14" s="191" t="str">
        <f>IFERROR(VLOOKUP($D14,Table_Measures,IF(Input_ProgramType=Lookups!$B$47,2,IF(Input_ProgramType=Lookups!$B$48,3)),0),"")</f>
        <v/>
      </c>
      <c r="M14" s="80" t="str">
        <f t="shared" si="6"/>
        <v/>
      </c>
      <c r="N14" s="97" t="str">
        <f t="shared" si="4"/>
        <v/>
      </c>
      <c r="O14" s="81" t="str">
        <f>IFERROR(HVAC!$N14*VLOOKUP(Input_ProgramType,Table_kWhCost,2,FALSE),"")</f>
        <v/>
      </c>
      <c r="P14" s="82" t="str">
        <f t="shared" si="5"/>
        <v/>
      </c>
      <c r="Q14" s="81" t="str">
        <f>IF(HVAC!$J14="","",HVAC!$J14-HVAC!$M14)</f>
        <v/>
      </c>
      <c r="R14" s="83" t="str">
        <f>IFERROR(HVAC!$Q14/HVAC!$O14,"")</f>
        <v/>
      </c>
    </row>
    <row r="15" spans="2:18" x14ac:dyDescent="0.25">
      <c r="B15" s="140" t="str">
        <f t="shared" si="3"/>
        <v/>
      </c>
      <c r="C15" s="141" t="s">
        <v>64</v>
      </c>
      <c r="D15" s="376" t="s">
        <v>834</v>
      </c>
      <c r="E15" s="179"/>
      <c r="F15" s="180"/>
      <c r="G15" s="180"/>
      <c r="H15" s="183"/>
      <c r="I15" s="184"/>
      <c r="J15" s="185"/>
      <c r="K15" s="190" t="str">
        <f t="shared" si="0"/>
        <v/>
      </c>
      <c r="L15" s="191" t="str">
        <f>IFERROR(VLOOKUP($D15,Table_Measures,IF(Input_ProgramType=Lookups!$B$47,2,IF(Input_ProgramType=Lookups!$B$48,3)),0),"")</f>
        <v/>
      </c>
      <c r="M15" s="80" t="str">
        <f t="shared" si="6"/>
        <v/>
      </c>
      <c r="N15" s="97" t="str">
        <f t="shared" si="4"/>
        <v/>
      </c>
      <c r="O15" s="81" t="str">
        <f>IFERROR(HVAC!$N15*VLOOKUP(Input_ProgramType,Table_kWhCost,2,FALSE),"")</f>
        <v/>
      </c>
      <c r="P15" s="82" t="str">
        <f t="shared" si="5"/>
        <v/>
      </c>
      <c r="Q15" s="81" t="str">
        <f>IF(HVAC!$J15="","",HVAC!$J15-HVAC!$M15)</f>
        <v/>
      </c>
      <c r="R15" s="83" t="str">
        <f>IFERROR(HVAC!$Q15/HVAC!$O15,"")</f>
        <v/>
      </c>
    </row>
    <row r="16" spans="2:18" x14ac:dyDescent="0.25">
      <c r="B16" s="140" t="str">
        <f t="shared" si="3"/>
        <v/>
      </c>
      <c r="C16" s="141" t="s">
        <v>64</v>
      </c>
      <c r="D16" s="376" t="s">
        <v>834</v>
      </c>
      <c r="E16" s="179"/>
      <c r="F16" s="180"/>
      <c r="G16" s="180"/>
      <c r="H16" s="183"/>
      <c r="I16" s="184"/>
      <c r="J16" s="185"/>
      <c r="K16" s="190" t="str">
        <f t="shared" si="0"/>
        <v/>
      </c>
      <c r="L16" s="191" t="str">
        <f>IFERROR(VLOOKUP($D16,Table_Measures,IF(Input_ProgramType=Lookups!$B$47,2,IF(Input_ProgramType=Lookups!$B$48,3)),0),"")</f>
        <v/>
      </c>
      <c r="M16" s="80" t="str">
        <f t="shared" si="6"/>
        <v/>
      </c>
      <c r="N16" s="97" t="str">
        <f t="shared" si="4"/>
        <v/>
      </c>
      <c r="O16" s="81" t="str">
        <f>IFERROR(HVAC!$N16*VLOOKUP(Input_ProgramType,Table_kWhCost,2,FALSE),"")</f>
        <v/>
      </c>
      <c r="P16" s="82" t="str">
        <f t="shared" si="5"/>
        <v/>
      </c>
      <c r="Q16" s="81" t="str">
        <f>IF(HVAC!$J16="","",HVAC!$J16-HVAC!$M16)</f>
        <v/>
      </c>
      <c r="R16" s="83" t="str">
        <f>IFERROR(HVAC!$Q16/HVAC!$O16,"")</f>
        <v/>
      </c>
    </row>
    <row r="17" spans="2:18" x14ac:dyDescent="0.25">
      <c r="B17" s="140" t="str">
        <f t="shared" si="3"/>
        <v/>
      </c>
      <c r="C17" s="141" t="s">
        <v>64</v>
      </c>
      <c r="D17" s="376" t="s">
        <v>834</v>
      </c>
      <c r="E17" s="179"/>
      <c r="F17" s="180"/>
      <c r="G17" s="180"/>
      <c r="H17" s="183"/>
      <c r="I17" s="184"/>
      <c r="J17" s="185"/>
      <c r="K17" s="190" t="str">
        <f t="shared" si="0"/>
        <v/>
      </c>
      <c r="L17" s="191" t="str">
        <f>IFERROR(VLOOKUP($D17,Table_Measures,IF(Input_ProgramType=Lookups!$B$47,2,IF(Input_ProgramType=Lookups!$B$48,3)),0),"")</f>
        <v/>
      </c>
      <c r="M17" s="80" t="str">
        <f t="shared" si="6"/>
        <v/>
      </c>
      <c r="N17" s="97" t="str">
        <f t="shared" si="4"/>
        <v/>
      </c>
      <c r="O17" s="81" t="str">
        <f>IFERROR(HVAC!$N17*VLOOKUP(Input_ProgramType,Table_kWhCost,2,FALSE),"")</f>
        <v/>
      </c>
      <c r="P17" s="82" t="str">
        <f t="shared" si="5"/>
        <v/>
      </c>
      <c r="Q17" s="81" t="str">
        <f>IF(HVAC!$J17="","",HVAC!$J17-HVAC!$M17)</f>
        <v/>
      </c>
      <c r="R17" s="83" t="str">
        <f>IFERROR(HVAC!$Q17/HVAC!$O17,"")</f>
        <v/>
      </c>
    </row>
    <row r="18" spans="2:18" x14ac:dyDescent="0.25">
      <c r="B18" s="140" t="str">
        <f t="shared" si="3"/>
        <v/>
      </c>
      <c r="C18" s="141" t="s">
        <v>64</v>
      </c>
      <c r="D18" s="376" t="s">
        <v>834</v>
      </c>
      <c r="E18" s="179"/>
      <c r="F18" s="180"/>
      <c r="G18" s="180"/>
      <c r="H18" s="183"/>
      <c r="I18" s="184"/>
      <c r="J18" s="185"/>
      <c r="K18" s="190" t="str">
        <f t="shared" si="0"/>
        <v/>
      </c>
      <c r="L18" s="191" t="str">
        <f>IFERROR(VLOOKUP($D18,Table_Measures,IF(Input_ProgramType=Lookups!$B$47,2,IF(Input_ProgramType=Lookups!$B$48,3)),0),"")</f>
        <v/>
      </c>
      <c r="M18" s="80" t="str">
        <f t="shared" si="6"/>
        <v/>
      </c>
      <c r="N18" s="97" t="str">
        <f t="shared" si="4"/>
        <v/>
      </c>
      <c r="O18" s="81" t="str">
        <f>IFERROR(HVAC!$N18*VLOOKUP(Input_ProgramType,Table_kWhCost,2,FALSE),"")</f>
        <v/>
      </c>
      <c r="P18" s="82" t="str">
        <f t="shared" si="5"/>
        <v/>
      </c>
      <c r="Q18" s="81" t="str">
        <f>IF(HVAC!$J18="","",HVAC!$J18-HVAC!$M18)</f>
        <v/>
      </c>
      <c r="R18" s="83" t="str">
        <f>IFERROR(HVAC!$Q18/HVAC!$O18,"")</f>
        <v/>
      </c>
    </row>
    <row r="19" spans="2:18" x14ac:dyDescent="0.25">
      <c r="B19" s="140" t="str">
        <f t="shared" si="3"/>
        <v/>
      </c>
      <c r="C19" s="141" t="s">
        <v>64</v>
      </c>
      <c r="D19" s="376" t="s">
        <v>834</v>
      </c>
      <c r="E19" s="179"/>
      <c r="F19" s="180"/>
      <c r="G19" s="180"/>
      <c r="H19" s="183"/>
      <c r="I19" s="184"/>
      <c r="J19" s="185"/>
      <c r="K19" s="190" t="str">
        <f t="shared" si="0"/>
        <v/>
      </c>
      <c r="L19" s="191" t="str">
        <f>IFERROR(VLOOKUP($D19,Table_Measures,IF(Input_ProgramType=Lookups!$B$47,2,IF(Input_ProgramType=Lookups!$B$48,3)),0),"")</f>
        <v/>
      </c>
      <c r="M19" s="80" t="str">
        <f t="shared" si="6"/>
        <v/>
      </c>
      <c r="N19" s="97" t="str">
        <f t="shared" si="4"/>
        <v/>
      </c>
      <c r="O19" s="81" t="str">
        <f>IFERROR(HVAC!$N19*VLOOKUP(Input_ProgramType,Table_kWhCost,2,FALSE),"")</f>
        <v/>
      </c>
      <c r="P19" s="82" t="str">
        <f t="shared" si="5"/>
        <v/>
      </c>
      <c r="Q19" s="81" t="str">
        <f>IF(HVAC!$J19="","",HVAC!$J19-HVAC!$M19)</f>
        <v/>
      </c>
      <c r="R19" s="83" t="str">
        <f>IFERROR(HVAC!$Q19/HVAC!$O19,"")</f>
        <v/>
      </c>
    </row>
    <row r="20" spans="2:18" x14ac:dyDescent="0.25">
      <c r="B20" s="140" t="str">
        <f t="shared" si="3"/>
        <v/>
      </c>
      <c r="C20" s="141" t="s">
        <v>64</v>
      </c>
      <c r="D20" s="376" t="s">
        <v>834</v>
      </c>
      <c r="E20" s="179"/>
      <c r="F20" s="180"/>
      <c r="G20" s="180"/>
      <c r="H20" s="183"/>
      <c r="I20" s="184"/>
      <c r="J20" s="185"/>
      <c r="K20" s="190" t="str">
        <f t="shared" si="0"/>
        <v/>
      </c>
      <c r="L20" s="191" t="str">
        <f>IFERROR(VLOOKUP($D20,Table_Measures,IF(Input_ProgramType=Lookups!$B$47,2,IF(Input_ProgramType=Lookups!$B$48,3)),0),"")</f>
        <v/>
      </c>
      <c r="M20" s="80" t="str">
        <f t="shared" si="6"/>
        <v/>
      </c>
      <c r="N20" s="97" t="str">
        <f t="shared" si="4"/>
        <v/>
      </c>
      <c r="O20" s="81" t="str">
        <f>IFERROR(HVAC!$N20*VLOOKUP(Input_ProgramType,Table_kWhCost,2,FALSE),"")</f>
        <v/>
      </c>
      <c r="P20" s="82" t="str">
        <f t="shared" si="5"/>
        <v/>
      </c>
      <c r="Q20" s="81" t="str">
        <f>IF(HVAC!$J20="","",HVAC!$J20-HVAC!$M20)</f>
        <v/>
      </c>
      <c r="R20" s="83" t="str">
        <f>IFERROR(HVAC!$Q20/HVAC!$O20,"")</f>
        <v/>
      </c>
    </row>
    <row r="21" spans="2:18" s="5" customFormat="1" ht="45" x14ac:dyDescent="0.25">
      <c r="B21" s="134" t="s">
        <v>42</v>
      </c>
      <c r="C21" s="134" t="s">
        <v>43</v>
      </c>
      <c r="D21" s="175" t="s">
        <v>827</v>
      </c>
      <c r="E21" s="134"/>
      <c r="F21" s="134"/>
      <c r="G21" s="134"/>
      <c r="H21" s="134"/>
      <c r="I21" s="134" t="s">
        <v>70</v>
      </c>
      <c r="J21" s="134" t="s">
        <v>33</v>
      </c>
      <c r="K21" s="134" t="s">
        <v>62</v>
      </c>
      <c r="L21" s="134" t="s">
        <v>63</v>
      </c>
      <c r="M21" s="134" t="s">
        <v>34</v>
      </c>
      <c r="N21" s="176" t="s">
        <v>35</v>
      </c>
      <c r="O21" s="134" t="s">
        <v>36</v>
      </c>
      <c r="P21" s="134" t="s">
        <v>37</v>
      </c>
      <c r="Q21" s="134" t="s">
        <v>38</v>
      </c>
      <c r="R21" s="134" t="s">
        <v>39</v>
      </c>
    </row>
    <row r="22" spans="2:18" s="5" customFormat="1" x14ac:dyDescent="0.25">
      <c r="B22" s="107" t="str">
        <f>IF(ISBLANK($I22)=TRUE,"",VLOOKUP($D22,Table_Measures,5,FALSE))</f>
        <v/>
      </c>
      <c r="C22" s="27" t="s">
        <v>64</v>
      </c>
      <c r="D22" s="28" t="s">
        <v>71</v>
      </c>
      <c r="E22" s="29"/>
      <c r="F22" s="29"/>
      <c r="G22" s="29"/>
      <c r="H22" s="29"/>
      <c r="I22" s="184"/>
      <c r="J22" s="185"/>
      <c r="K22" s="190" t="str">
        <f t="shared" si="0"/>
        <v>Fan</v>
      </c>
      <c r="L22" s="191" t="str">
        <f>IFERROR(VLOOKUP($D22,Table_Measures,IF(Input_ProgramType=Lookups!$B$47,2,IF(Input_ProgramType=Lookups!$B$48,3)),0),"")</f>
        <v/>
      </c>
      <c r="M22" s="80" t="str">
        <f>IF(ISBLANK($I22)=TRUE,"",$L22*$I22)</f>
        <v/>
      </c>
      <c r="N22" s="97" t="str">
        <f>IF(ISBLANK($I22)=TRUE,"",VLOOKUP($D22,Table_ECMHVACFan,2,FALSE)*$I22)</f>
        <v/>
      </c>
      <c r="O22" s="81" t="str">
        <f>IFERROR(HVAC!$N22*VLOOKUP(Input_ProgramType,Table_kWhCost,2,FALSE),"")</f>
        <v/>
      </c>
      <c r="P22" s="82" t="str">
        <f>IF(ISBLANK($I22)=TRUE,"",VLOOKUP($D22,Table_ECMHVACFan,3,FALSE)*$I22)</f>
        <v/>
      </c>
      <c r="Q22" s="81" t="str">
        <f>IF(HVAC!$J22="","",HVAC!$J22-HVAC!$M22)</f>
        <v/>
      </c>
      <c r="R22" s="83" t="str">
        <f>IFERROR(HVAC!$Q22/HVAC!$O22,"")</f>
        <v/>
      </c>
    </row>
    <row r="23" spans="2:18" s="5" customFormat="1" x14ac:dyDescent="0.25">
      <c r="B23" s="107" t="str">
        <f>IF(ISBLANK($I23)=TRUE,"",VLOOKUP($D23,Table_Measures,5,FALSE))</f>
        <v/>
      </c>
      <c r="C23" s="27" t="s">
        <v>64</v>
      </c>
      <c r="D23" s="28" t="s">
        <v>72</v>
      </c>
      <c r="E23" s="29"/>
      <c r="F23" s="29"/>
      <c r="G23" s="29"/>
      <c r="H23" s="29"/>
      <c r="I23" s="184"/>
      <c r="J23" s="185"/>
      <c r="K23" s="190" t="str">
        <f t="shared" si="0"/>
        <v>Room</v>
      </c>
      <c r="L23" s="191" t="str">
        <f>IFERROR(VLOOKUP($D23,Table_Measures,IF(Input_ProgramType=Lookups!$B$47,2,IF(Input_ProgramType=Lookups!$B$48,3)),0),"")</f>
        <v/>
      </c>
      <c r="M23" s="80" t="str">
        <f>IF(ISBLANK($I23)=TRUE,"",$L23*$I23)</f>
        <v/>
      </c>
      <c r="N23" s="97" t="str">
        <f>IF(ISBLANK($I23)=TRUE,"",VLOOKUP($D23,Table_GREM,2,FALSE)*$I23)</f>
        <v/>
      </c>
      <c r="O23" s="81" t="str">
        <f>IFERROR(HVAC!$N23*VLOOKUP(Input_ProgramType,Table_kWhCost,2,FALSE),"")</f>
        <v/>
      </c>
      <c r="P23" s="82" t="str">
        <f>IF(ISBLANK($I23)=TRUE,"",VLOOKUP($D23,Table_GREM,3,FALSE)*$I23)</f>
        <v/>
      </c>
      <c r="Q23" s="81" t="str">
        <f>IF(HVAC!$J23="","",HVAC!$J23-HVAC!$M23)</f>
        <v/>
      </c>
      <c r="R23" s="83" t="str">
        <f>IFERROR(HVAC!$Q23/HVAC!$O23,"")</f>
        <v/>
      </c>
    </row>
  </sheetData>
  <sheetProtection algorithmName="SHA-512" hashValue="/oV8ONL4CuXtw6+J1oveedQFYJAd4K8xLz5Ea2kMtyaUovBViWoDpUnEP4prS8/TPt631hxMYlhg+xCVWir8mA==" saltValue="6BscLM+JeLaG6TNx7GlQCA==" spinCount="100000" sheet="1" objects="1" scenarios="1"/>
  <dataValidations count="1">
    <dataValidation type="list" allowBlank="1" showInputMessage="1" showErrorMessage="1" sqref="G1" xr:uid="{135C08E3-FBB4-481C-9285-3B518BBB1D74}">
      <formula1>List_HVACBldgTypes</formula1>
    </dataValidation>
  </dataValidations>
  <pageMargins left="0.7" right="0.7" top="0.75" bottom="0.75" header="0.3" footer="0.3"/>
  <pageSetup scale="75" fitToWidth="0" fitToHeight="0" orientation="landscape" verticalDpi="4294967293"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B7296D96-B598-44EC-9CC7-8C53C69375B0}">
          <x14:formula1>
            <xm:f>Lookups!$Q$4:$Q$8</xm:f>
          </x14:formula1>
          <xm:sqref>D3:D6</xm:sqref>
        </x14:dataValidation>
        <x14:dataValidation type="list" allowBlank="1" showInputMessage="1" showErrorMessage="1" xr:uid="{BB9D3C85-DC31-4E8A-A94D-D2514E12F8A1}">
          <x14:formula1>
            <xm:f>Lookups!$Q$9:$Q$13</xm:f>
          </x14:formula1>
          <xm:sqref>D7:D10</xm:sqref>
        </x14:dataValidation>
        <x14:dataValidation type="list" allowBlank="1" showInputMessage="1" showErrorMessage="1" xr:uid="{1EECE19D-F378-471E-BFE2-6E353B68A894}">
          <x14:formula1>
            <xm:f>Lookups!$Q$31:$Q$40</xm:f>
          </x14:formula1>
          <xm:sqref>D12:D20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BBA749-F7A5-4B53-A3A2-095CE9A03952}">
  <sheetPr>
    <tabColor rgb="FFED1653"/>
  </sheetPr>
  <dimension ref="B1:P21"/>
  <sheetViews>
    <sheetView showGridLines="0" showRowColHeaders="0" topLeftCell="D1" zoomScaleNormal="100" workbookViewId="0">
      <selection activeCell="E3" sqref="E3"/>
    </sheetView>
  </sheetViews>
  <sheetFormatPr defaultColWidth="9.140625" defaultRowHeight="15" x14ac:dyDescent="0.25"/>
  <cols>
    <col min="1" max="1" width="2.140625" style="4" customWidth="1"/>
    <col min="2" max="2" width="24.42578125" style="4" customWidth="1"/>
    <col min="3" max="3" width="29.42578125" style="4" bestFit="1" customWidth="1"/>
    <col min="4" max="4" width="64.7109375" style="3" customWidth="1"/>
    <col min="5" max="5" width="24.140625" style="3" customWidth="1"/>
    <col min="6" max="6" width="22.85546875" style="3" bestFit="1" customWidth="1"/>
    <col min="7" max="7" width="14.42578125" style="3" bestFit="1" customWidth="1"/>
    <col min="8" max="9" width="15.5703125" style="4" bestFit="1" customWidth="1"/>
    <col min="10" max="10" width="17.5703125" style="4" bestFit="1" customWidth="1"/>
    <col min="11" max="11" width="14.28515625" style="4" bestFit="1" customWidth="1"/>
    <col min="12" max="12" width="12.140625" style="4" bestFit="1" customWidth="1"/>
    <col min="13" max="13" width="12.5703125" style="4" customWidth="1"/>
    <col min="14" max="14" width="13.5703125" style="4" bestFit="1" customWidth="1"/>
    <col min="15" max="15" width="15.42578125" style="4" bestFit="1" customWidth="1"/>
    <col min="16" max="16" width="14.85546875" style="4" bestFit="1" customWidth="1"/>
    <col min="17" max="16384" width="9.140625" style="4"/>
  </cols>
  <sheetData>
    <row r="1" spans="2:16" s="26" customFormat="1" ht="15.75" x14ac:dyDescent="0.25">
      <c r="H1" s="186">
        <f>SUM(Other!$H$3:$H$21)</f>
        <v>0</v>
      </c>
      <c r="K1" s="186">
        <f>SUM(Other!$K$3:$K$21)</f>
        <v>0</v>
      </c>
      <c r="L1" s="215">
        <f>SUM(Other!$L$3:$L$21)</f>
        <v>0</v>
      </c>
      <c r="M1" s="186">
        <f>IFERROR(SUM(Other!$M$3:$M$21),"")</f>
        <v>0</v>
      </c>
      <c r="N1" s="216">
        <f>SUM(Other!$N$3:$N$21)</f>
        <v>0</v>
      </c>
      <c r="O1" s="186">
        <f>H1-K1</f>
        <v>0</v>
      </c>
      <c r="P1" s="217" t="str">
        <f>IFERROR(O1/M1,"")</f>
        <v/>
      </c>
    </row>
    <row r="2" spans="2:16" s="5" customFormat="1" ht="30" x14ac:dyDescent="0.25">
      <c r="B2" s="192" t="s">
        <v>691</v>
      </c>
      <c r="C2" s="193" t="s">
        <v>43</v>
      </c>
      <c r="D2" s="193" t="s">
        <v>828</v>
      </c>
      <c r="E2" s="193" t="s">
        <v>712</v>
      </c>
      <c r="F2" s="193" t="s">
        <v>716</v>
      </c>
      <c r="G2" s="193" t="s">
        <v>720</v>
      </c>
      <c r="H2" s="193" t="s">
        <v>697</v>
      </c>
      <c r="I2" s="193" t="s">
        <v>721</v>
      </c>
      <c r="J2" s="193" t="s">
        <v>722</v>
      </c>
      <c r="K2" s="193" t="s">
        <v>698</v>
      </c>
      <c r="L2" s="193" t="s">
        <v>699</v>
      </c>
      <c r="M2" s="193" t="s">
        <v>700</v>
      </c>
      <c r="N2" s="193" t="s">
        <v>701</v>
      </c>
      <c r="O2" s="193" t="s">
        <v>702</v>
      </c>
      <c r="P2" s="193" t="s">
        <v>703</v>
      </c>
    </row>
    <row r="3" spans="2:16" x14ac:dyDescent="0.25">
      <c r="B3" s="194" t="str">
        <f>IF(ISBLANK($G3)=TRUE,"",VLOOKUP($D3,Table_Measures,5,FALSE))</f>
        <v/>
      </c>
      <c r="C3" s="195" t="s">
        <v>74</v>
      </c>
      <c r="D3" s="196" t="s">
        <v>75</v>
      </c>
      <c r="E3" s="198"/>
      <c r="F3" s="199"/>
      <c r="G3" s="200"/>
      <c r="H3" s="201"/>
      <c r="I3" s="207" t="str">
        <f>IFERROR(VLOOKUP($D3,Table_Measures,4,FALSE),"")</f>
        <v>Aerator</v>
      </c>
      <c r="J3" s="191" t="str">
        <f>IFERROR(VLOOKUP($D3,Table_Measures,IF(Input_ProgramType=Lookups!$B$47,2,IF(Input_ProgramType=Lookups!$B$48,3)),0),"")</f>
        <v/>
      </c>
      <c r="K3" s="218" t="str">
        <f>IF(ISBLANK($G3)=TRUE,"",$J3*$G3)</f>
        <v/>
      </c>
      <c r="L3" s="219" t="str">
        <f>IF(ISBLANK($G3)=TRUE,"",VLOOKUP($F3,Table_Aerators,2,FALSE)*$G3)</f>
        <v/>
      </c>
      <c r="M3" s="220" t="str">
        <f>IFERROR($L3*VLOOKUP(Input_ProgramType,Table_kWhCost,2,FALSE),"")</f>
        <v/>
      </c>
      <c r="N3" s="221" t="str">
        <f>IF(ISBLANK($G3)=TRUE,"",VLOOKUP($F3,Table_Aerators,3,FALSE)*$G3)</f>
        <v/>
      </c>
      <c r="O3" s="220" t="str">
        <f>IF(Other!$H3="","",Other!$H3-Other!$K3)</f>
        <v/>
      </c>
      <c r="P3" s="222" t="str">
        <f>IFERROR($O3/$M3,"")</f>
        <v/>
      </c>
    </row>
    <row r="4" spans="2:16" x14ac:dyDescent="0.25">
      <c r="B4" s="194" t="str">
        <f>IF(ISBLANK($G4)=TRUE,"",VLOOKUP($D4,Table_Measures,5,FALSE))</f>
        <v/>
      </c>
      <c r="C4" s="195" t="s">
        <v>74</v>
      </c>
      <c r="D4" s="196" t="s">
        <v>77</v>
      </c>
      <c r="E4" s="198"/>
      <c r="F4" s="199"/>
      <c r="G4" s="200"/>
      <c r="H4" s="201"/>
      <c r="I4" s="207" t="str">
        <f>IFERROR(VLOOKUP($D4,Table_Measures,4,FALSE),"")</f>
        <v>Showerhead</v>
      </c>
      <c r="J4" s="191" t="str">
        <f>IFERROR(VLOOKUP($D4,Table_Measures,IF(Input_ProgramType=Lookups!$B$47,2,IF(Input_ProgramType=Lookups!$B$48,3)),0),"")</f>
        <v/>
      </c>
      <c r="K4" s="208" t="str">
        <f>IF(ISBLANK($G4)=TRUE,"",$J4*$G4)</f>
        <v/>
      </c>
      <c r="L4" s="209" t="str">
        <f>IF(ISBLANK($G4)=TRUE,"",VLOOKUP($F4,Table_Showerhead,2,FALSE)*$G4)</f>
        <v/>
      </c>
      <c r="M4" s="210" t="str">
        <f>IFERROR($L4*VLOOKUP(Input_ProgramType,Table_kWhCost,2,FALSE),"")</f>
        <v/>
      </c>
      <c r="N4" s="211" t="str">
        <f>IF(ISBLANK($G4)=TRUE,"",VLOOKUP($F4,Table_Showerhead,3,FALSE)*$G4)</f>
        <v/>
      </c>
      <c r="O4" s="210" t="str">
        <f>IF(Other!$H4="","",Other!$H4-Other!$K4)</f>
        <v/>
      </c>
      <c r="P4" s="212" t="str">
        <f t="shared" ref="P4:P5" si="0">IFERROR($O4/$M4,"")</f>
        <v/>
      </c>
    </row>
    <row r="5" spans="2:16" x14ac:dyDescent="0.25">
      <c r="B5" s="194" t="str">
        <f>IF(ISBLANK($G5)=TRUE,"",VLOOKUP($D5,Table_Measures,5,FALSE))</f>
        <v/>
      </c>
      <c r="C5" s="195" t="s">
        <v>74</v>
      </c>
      <c r="D5" s="178" t="s">
        <v>79</v>
      </c>
      <c r="E5" s="202"/>
      <c r="F5" s="203"/>
      <c r="G5" s="184"/>
      <c r="H5" s="185"/>
      <c r="I5" s="190" t="str">
        <f>IFERROR(VLOOKUP($D5,Table_Measures,4,FALSE),"")</f>
        <v>Spray Valve</v>
      </c>
      <c r="J5" s="191" t="str">
        <f>IFERROR(VLOOKUP($D5,Table_Measures,IF(Input_ProgramType=Lookups!$B$47,2,IF(Input_ProgramType=Lookups!$B$48,3)),0),"")</f>
        <v/>
      </c>
      <c r="K5" s="208" t="str">
        <f>IF(ISBLANK($G5)=TRUE,"",$J5*$G5)</f>
        <v/>
      </c>
      <c r="L5" s="209" t="str">
        <f>IF(ISBLANK($G5)=TRUE,"",VLOOKUP($F5,Table_PRSV,2,FALSE)*$G5)</f>
        <v/>
      </c>
      <c r="M5" s="210" t="str">
        <f>IFERROR($L5*VLOOKUP(Input_ProgramType,Table_kWhCost,2,FALSE),"")</f>
        <v/>
      </c>
      <c r="N5" s="211" t="str">
        <f>IF(ISBLANK($G5)=TRUE,"",VLOOKUP($F5,Table_PRSV,3,FALSE)*$G5)</f>
        <v/>
      </c>
      <c r="O5" s="210" t="str">
        <f>IF(Other!$H5="","",Other!$H5-Other!$K5)</f>
        <v/>
      </c>
      <c r="P5" s="212" t="str">
        <f t="shared" si="0"/>
        <v/>
      </c>
    </row>
    <row r="6" spans="2:16" s="5" customFormat="1" ht="30" x14ac:dyDescent="0.25">
      <c r="B6" s="192" t="s">
        <v>691</v>
      </c>
      <c r="C6" s="134" t="s">
        <v>43</v>
      </c>
      <c r="D6" s="175" t="s">
        <v>829</v>
      </c>
      <c r="E6" s="134" t="s">
        <v>713</v>
      </c>
      <c r="F6" s="134" t="s">
        <v>717</v>
      </c>
      <c r="G6" s="193" t="s">
        <v>720</v>
      </c>
      <c r="H6" s="193" t="s">
        <v>697</v>
      </c>
      <c r="I6" s="193" t="s">
        <v>721</v>
      </c>
      <c r="J6" s="193" t="s">
        <v>722</v>
      </c>
      <c r="K6" s="193" t="s">
        <v>698</v>
      </c>
      <c r="L6" s="193" t="s">
        <v>699</v>
      </c>
      <c r="M6" s="193" t="s">
        <v>700</v>
      </c>
      <c r="N6" s="193" t="s">
        <v>701</v>
      </c>
      <c r="O6" s="193" t="s">
        <v>702</v>
      </c>
      <c r="P6" s="193" t="s">
        <v>703</v>
      </c>
    </row>
    <row r="7" spans="2:16" s="5" customFormat="1" x14ac:dyDescent="0.25">
      <c r="B7" s="140" t="str">
        <f>IF(ISBLANK($G7)=TRUE,"",VLOOKUP($D7,Table_Measures,5,FALSE))</f>
        <v/>
      </c>
      <c r="C7" s="197" t="s">
        <v>81</v>
      </c>
      <c r="D7" s="178" t="s">
        <v>82</v>
      </c>
      <c r="E7" s="184"/>
      <c r="F7" s="206"/>
      <c r="G7" s="205"/>
      <c r="H7" s="185"/>
      <c r="I7" s="190" t="str">
        <f>IFERROR(VLOOKUP($D7,Table_Measures,4,FALSE),"")</f>
        <v>Fan</v>
      </c>
      <c r="J7" s="191" t="str">
        <f>IFERROR(VLOOKUP($D7,Table_Measures,IF(Input_ProgramType=Lookups!$B$47,2,IF(Input_ProgramType=Lookups!$B$48,3)),0),"")</f>
        <v/>
      </c>
      <c r="K7" s="208" t="str">
        <f>IF(ISBLANK($G7)=TRUE,"",$J7*$G7)</f>
        <v/>
      </c>
      <c r="L7" s="213" t="str">
        <f>IF(ISBLANK($G7)=TRUE,"",VLOOKUP($E7,Table_ECMRefrFan,2,FALSE)*$G7)</f>
        <v/>
      </c>
      <c r="M7" s="210" t="str">
        <f>IFERROR($L7*VLOOKUP(Input_ProgramType,Table_kWhCost,2,FALSE),"")</f>
        <v/>
      </c>
      <c r="N7" s="214" t="str">
        <f>IF(ISBLANK($G7)=TRUE,"",VLOOKUP($E7,Table_ECMRefrFan,3,FALSE)*$G7)</f>
        <v/>
      </c>
      <c r="O7" s="208" t="str">
        <f>IFERROR(Other!$H7-Other!$K7,"")</f>
        <v/>
      </c>
      <c r="P7" s="212" t="str">
        <f>IFERROR(Other!$O7/Other!$M7,"")</f>
        <v/>
      </c>
    </row>
    <row r="8" spans="2:16" s="5" customFormat="1" x14ac:dyDescent="0.25">
      <c r="B8" s="140" t="str">
        <f>IF(ISBLANK($G8)=TRUE,"",VLOOKUP($D8,Table_Measures,5,FALSE))</f>
        <v/>
      </c>
      <c r="C8" s="197" t="s">
        <v>81</v>
      </c>
      <c r="D8" s="178" t="s">
        <v>84</v>
      </c>
      <c r="E8" s="184"/>
      <c r="F8" s="206"/>
      <c r="G8" s="205"/>
      <c r="H8" s="185"/>
      <c r="I8" s="190" t="str">
        <f>IFERROR(VLOOKUP($D8,Table_Measures,4,FALSE),"")</f>
        <v>Fan</v>
      </c>
      <c r="J8" s="191" t="str">
        <f>IFERROR(VLOOKUP($D8,Table_Measures,IF(Input_ProgramType=Lookups!$B$47,2,IF(Input_ProgramType=Lookups!$B$48,3)),0),"")</f>
        <v/>
      </c>
      <c r="K8" s="208" t="str">
        <f>IF(ISBLANK($G8)=TRUE,"",$J8*$G8)</f>
        <v/>
      </c>
      <c r="L8" s="213" t="str">
        <f>IF(ISBLANK($G8)=TRUE,"",VLOOKUP($E8,Table_EvapFanControls,2,FALSE)*$G8)</f>
        <v/>
      </c>
      <c r="M8" s="210" t="str">
        <f>IFERROR($L8*VLOOKUP(Input_ProgramType,Table_kWhCost,2,FALSE),"")</f>
        <v/>
      </c>
      <c r="N8" s="214" t="str">
        <f>IF(ISBLANK($G8)=TRUE,"",VLOOKUP($E8,Table_EvapFanControls,3,FALSE)*$G8)</f>
        <v/>
      </c>
      <c r="O8" s="208" t="str">
        <f>IFERROR(Other!$H8-Other!$K8,"")</f>
        <v/>
      </c>
      <c r="P8" s="212" t="str">
        <f>IFERROR(Other!$O8/Other!$M8,"")</f>
        <v/>
      </c>
    </row>
    <row r="9" spans="2:16" s="5" customFormat="1" x14ac:dyDescent="0.25">
      <c r="B9" s="140" t="str">
        <f>IF(ISBLANK($G9)=TRUE,"",VLOOKUP($D9,Table_Measures,5,FALSE))</f>
        <v/>
      </c>
      <c r="C9" s="197" t="s">
        <v>81</v>
      </c>
      <c r="D9" s="178" t="s">
        <v>85</v>
      </c>
      <c r="E9" s="184"/>
      <c r="F9" s="204"/>
      <c r="G9" s="205"/>
      <c r="H9" s="185"/>
      <c r="I9" s="190" t="str">
        <f>IFERROR(VLOOKUP($D9,Table_Measures,4,FALSE),"")</f>
        <v>Unit</v>
      </c>
      <c r="J9" s="191" t="str">
        <f>IFERROR(VLOOKUP($D9,Table_Measures,IF(Input_ProgramType=Lookups!$B$47,2,IF(Input_ProgramType=Lookups!$B$48,3)),0),"")</f>
        <v/>
      </c>
      <c r="K9" s="208" t="str">
        <f>IF(ISBLANK($G9)=TRUE,"",$J9*$G9)</f>
        <v/>
      </c>
      <c r="L9" s="213" t="str">
        <f>IF(ISBLANK($G9)=TRUE,"",VLOOKUP(_xlfn.CONCAT(E9,F9),Table_ESRefrigerators,4,FALSE)*$G9)</f>
        <v/>
      </c>
      <c r="M9" s="210" t="str">
        <f>IFERROR($L9*VLOOKUP(Input_ProgramType,Table_kWhCost,2,FALSE),"")</f>
        <v/>
      </c>
      <c r="N9" s="214" t="str">
        <f>IF(ISBLANK($G9)=TRUE,"",VLOOKUP(_xlfn.CONCAT(E9,F9),Table_ESRefrigerators,5,FALSE)*$G9)</f>
        <v/>
      </c>
      <c r="O9" s="208" t="str">
        <f>IFERROR(Other!$H9-Other!$K9,"")</f>
        <v/>
      </c>
      <c r="P9" s="212" t="str">
        <f>IFERROR(Other!$O9/Other!$M9,"")</f>
        <v/>
      </c>
    </row>
    <row r="10" spans="2:16" s="5" customFormat="1" ht="30" x14ac:dyDescent="0.25">
      <c r="B10" s="192" t="s">
        <v>691</v>
      </c>
      <c r="C10" s="134" t="s">
        <v>43</v>
      </c>
      <c r="D10" s="175" t="s">
        <v>831</v>
      </c>
      <c r="E10" s="134" t="s">
        <v>714</v>
      </c>
      <c r="F10" s="134" t="s">
        <v>718</v>
      </c>
      <c r="G10" s="193" t="s">
        <v>720</v>
      </c>
      <c r="H10" s="193" t="s">
        <v>697</v>
      </c>
      <c r="I10" s="193" t="s">
        <v>721</v>
      </c>
      <c r="J10" s="193" t="s">
        <v>722</v>
      </c>
      <c r="K10" s="193" t="s">
        <v>698</v>
      </c>
      <c r="L10" s="193" t="s">
        <v>699</v>
      </c>
      <c r="M10" s="193" t="s">
        <v>700</v>
      </c>
      <c r="N10" s="193" t="s">
        <v>701</v>
      </c>
      <c r="O10" s="193" t="s">
        <v>702</v>
      </c>
      <c r="P10" s="193" t="s">
        <v>703</v>
      </c>
    </row>
    <row r="11" spans="2:16" s="5" customFormat="1" x14ac:dyDescent="0.25">
      <c r="B11" s="107" t="str">
        <f>IF(ISBLANK($G11)=TRUE,"",VLOOKUP($D11,Table_Measures,5,FALSE))</f>
        <v/>
      </c>
      <c r="C11" s="30" t="s">
        <v>30</v>
      </c>
      <c r="D11" s="28" t="s">
        <v>88</v>
      </c>
      <c r="E11" s="184"/>
      <c r="F11" s="204"/>
      <c r="G11" s="205"/>
      <c r="H11" s="185"/>
      <c r="I11" s="190" t="str">
        <f>IFERROR(VLOOKUP($D11,Table_Measures,4,FALSE),"")</f>
        <v>Unit</v>
      </c>
      <c r="J11" s="191" t="str">
        <f>IFERROR(VLOOKUP($D11,Table_Measures,IF(Input_ProgramType=Lookups!$B$47,2,IF(Input_ProgramType=Lookups!$B$48,3)),0),"")</f>
        <v/>
      </c>
      <c r="K11" s="208" t="str">
        <f>IF(ISBLANK($G11)=TRUE,"",$J11*$G11)</f>
        <v/>
      </c>
      <c r="L11" s="213" t="str">
        <f>IF(ISBLANK($G11)=TRUE,"",VLOOKUP(_xlfn.CONCAT($D11,$E11,$F11),Table_Dishwashers,5,FALSE)*$G11)</f>
        <v/>
      </c>
      <c r="M11" s="210" t="str">
        <f>IFERROR($L11*VLOOKUP(Input_ProgramType,Table_kWhCost,2,FALSE),"")</f>
        <v/>
      </c>
      <c r="N11" s="214" t="str">
        <f>IF(ISBLANK($G11)=TRUE,"",VLOOKUP(_xlfn.CONCAT($D11,$E11,$F11),Table_Dishwashers,6,FALSE)*$G11)</f>
        <v/>
      </c>
      <c r="O11" s="208" t="str">
        <f>IFERROR($H11-$K11,"")</f>
        <v/>
      </c>
      <c r="P11" s="212" t="str">
        <f>IFERROR($O11/$M11,"")</f>
        <v/>
      </c>
    </row>
    <row r="12" spans="2:16" s="5" customFormat="1" x14ac:dyDescent="0.25">
      <c r="B12" s="107" t="str">
        <f>IF(ISBLANK($G12)=TRUE,"",VLOOKUP($D12,Table_Measures,5,FALSE))</f>
        <v/>
      </c>
      <c r="C12" s="30" t="s">
        <v>30</v>
      </c>
      <c r="D12" s="28" t="s">
        <v>91</v>
      </c>
      <c r="E12" s="184"/>
      <c r="F12" s="204"/>
      <c r="G12" s="205"/>
      <c r="H12" s="185"/>
      <c r="I12" s="190" t="str">
        <f>IFERROR(VLOOKUP($D12,Table_Measures,4,FALSE),"")</f>
        <v>Unit</v>
      </c>
      <c r="J12" s="191" t="str">
        <f>IFERROR(VLOOKUP($D12,Table_Measures,IF(Input_ProgramType=Lookups!$B$47,2,IF(Input_ProgramType=Lookups!$B$48,3)),0),"")</f>
        <v/>
      </c>
      <c r="K12" s="208" t="str">
        <f>IF(ISBLANK($G12)=TRUE,"",$J12*$G12)</f>
        <v/>
      </c>
      <c r="L12" s="213" t="str">
        <f>IF(ISBLANK($G12)=TRUE,"",VLOOKUP(_xlfn.CONCAT($D12,$E12,$F12),Table_Dishwashers,5,FALSE)*$G12)</f>
        <v/>
      </c>
      <c r="M12" s="210" t="str">
        <f>IFERROR($L12*VLOOKUP(Input_ProgramType,Table_kWhCost,2,FALSE),"")</f>
        <v/>
      </c>
      <c r="N12" s="214" t="str">
        <f>IF(ISBLANK($G12)=TRUE,"",VLOOKUP(_xlfn.CONCAT($D12,$E12,$F12),Table_Dishwashers,6,FALSE)*$G12)</f>
        <v/>
      </c>
      <c r="O12" s="208" t="str">
        <f>IFERROR($H12-$K12,"")</f>
        <v/>
      </c>
      <c r="P12" s="212" t="str">
        <f>IFERROR($O12/$M12,"")</f>
        <v/>
      </c>
    </row>
    <row r="13" spans="2:16" s="5" customFormat="1" x14ac:dyDescent="0.25">
      <c r="B13" s="107" t="str">
        <f>IF(ISBLANK($G13)=TRUE,"",VLOOKUP($D13,Table_Measures,5,FALSE))</f>
        <v/>
      </c>
      <c r="C13" s="30" t="s">
        <v>30</v>
      </c>
      <c r="D13" s="28" t="s">
        <v>94</v>
      </c>
      <c r="E13" s="223" t="s">
        <v>89</v>
      </c>
      <c r="F13" s="204"/>
      <c r="G13" s="205"/>
      <c r="H13" s="185"/>
      <c r="I13" s="190" t="str">
        <f>IFERROR(VLOOKUP($D13,Table_Measures,4,FALSE),"")</f>
        <v>Unit</v>
      </c>
      <c r="J13" s="191" t="str">
        <f>IFERROR(VLOOKUP($D13,Table_Measures,IF(Input_ProgramType=Lookups!$B$47,2,IF(Input_ProgramType=Lookups!$B$48,3)),0),"")</f>
        <v/>
      </c>
      <c r="K13" s="208" t="str">
        <f>IF(ISBLANK($G13)=TRUE,"",$J13*$G13)</f>
        <v/>
      </c>
      <c r="L13" s="213" t="str">
        <f>IF(ISBLANK($G13)=TRUE,"",VLOOKUP(_xlfn.CONCAT($D13,$E13,$F13),Table_Dishwashers,5,FALSE)*$G13)</f>
        <v/>
      </c>
      <c r="M13" s="210" t="str">
        <f>IFERROR($L13*VLOOKUP(Input_ProgramType,Table_kWhCost,2,FALSE),"")</f>
        <v/>
      </c>
      <c r="N13" s="214" t="str">
        <f>IF(ISBLANK($G13)=TRUE,"",VLOOKUP(_xlfn.CONCAT($D13,$E13,$F13),Table_Dishwashers,6,FALSE)*$G13)</f>
        <v/>
      </c>
      <c r="O13" s="208" t="str">
        <f>IFERROR($H13-$K13,"")</f>
        <v/>
      </c>
      <c r="P13" s="212" t="str">
        <f>IFERROR($O13/$M13,"")</f>
        <v/>
      </c>
    </row>
    <row r="14" spans="2:16" s="5" customFormat="1" x14ac:dyDescent="0.25">
      <c r="B14" s="107" t="str">
        <f>IF(ISBLANK($G14)=TRUE,"",VLOOKUP($D14,Table_Measures,5,FALSE))</f>
        <v/>
      </c>
      <c r="C14" s="30" t="s">
        <v>30</v>
      </c>
      <c r="D14" s="28" t="s">
        <v>95</v>
      </c>
      <c r="E14" s="184"/>
      <c r="F14" s="204"/>
      <c r="G14" s="205"/>
      <c r="H14" s="185"/>
      <c r="I14" s="190" t="str">
        <f>IFERROR(VLOOKUP($D14,Table_Measures,4,FALSE),"")</f>
        <v>Unit</v>
      </c>
      <c r="J14" s="191" t="str">
        <f>IFERROR(VLOOKUP($D14,Table_Measures,IF(Input_ProgramType=Lookups!$B$47,2,IF(Input_ProgramType=Lookups!$B$48,3)),0),"")</f>
        <v/>
      </c>
      <c r="K14" s="208" t="str">
        <f>IF(ISBLANK($G14)=TRUE,"",$J14*$G14)</f>
        <v/>
      </c>
      <c r="L14" s="213" t="str">
        <f>IF(ISBLANK($G14)=TRUE,"",VLOOKUP(_xlfn.CONCAT($D14,$E14,$F14),Table_Dishwashers,5,FALSE)*$G14)</f>
        <v/>
      </c>
      <c r="M14" s="210" t="str">
        <f>IFERROR($L14*VLOOKUP(Input_ProgramType,Table_kWhCost,2,FALSE),"")</f>
        <v/>
      </c>
      <c r="N14" s="214" t="str">
        <f>IF(ISBLANK($G14)=TRUE,"",VLOOKUP(_xlfn.CONCAT($D14,$E14,$F14),Table_Dishwashers,6,FALSE)*$G14)</f>
        <v/>
      </c>
      <c r="O14" s="208" t="str">
        <f>IFERROR($H14-$K14,"")</f>
        <v/>
      </c>
      <c r="P14" s="212" t="str">
        <f>IFERROR($O14/$M14,"")</f>
        <v/>
      </c>
    </row>
    <row r="15" spans="2:16" s="5" customFormat="1" x14ac:dyDescent="0.25">
      <c r="B15" s="107" t="str">
        <f>IF(ISBLANK($G15)=TRUE,"",VLOOKUP($D15,Table_Measures,5,FALSE))</f>
        <v/>
      </c>
      <c r="C15" s="30" t="s">
        <v>30</v>
      </c>
      <c r="D15" s="28" t="s">
        <v>97</v>
      </c>
      <c r="E15" s="184"/>
      <c r="F15" s="204"/>
      <c r="G15" s="205"/>
      <c r="H15" s="185"/>
      <c r="I15" s="190" t="str">
        <f>IFERROR(VLOOKUP($D15,Table_Measures,4,FALSE),"")</f>
        <v>Unit</v>
      </c>
      <c r="J15" s="191" t="str">
        <f>IFERROR(VLOOKUP($D15,Table_Measures,IF(Input_ProgramType=Lookups!$B$47,2,IF(Input_ProgramType=Lookups!$B$48,3)),0),"")</f>
        <v/>
      </c>
      <c r="K15" s="208" t="str">
        <f>IF(ISBLANK($G15)=TRUE,"",$J15*$G15)</f>
        <v/>
      </c>
      <c r="L15" s="213" t="str">
        <f>IF(ISBLANK($G15)=TRUE,"",VLOOKUP(_xlfn.CONCAT($D15,$E15,$F15),Table_Dishwashers,5,FALSE)*$G15)</f>
        <v/>
      </c>
      <c r="M15" s="210" t="str">
        <f>IFERROR($L15*VLOOKUP(Input_ProgramType,Table_kWhCost,2,FALSE),"")</f>
        <v/>
      </c>
      <c r="N15" s="214" t="str">
        <f>IF(ISBLANK($G15)=TRUE,"",VLOOKUP(_xlfn.CONCAT($D15,$E15,$F15),Table_Dishwashers,6,FALSE)*$G15)</f>
        <v/>
      </c>
      <c r="O15" s="208" t="str">
        <f>IFERROR($H15-$K15,"")</f>
        <v/>
      </c>
      <c r="P15" s="212" t="str">
        <f>IFERROR($O15/$M15,"")</f>
        <v/>
      </c>
    </row>
    <row r="16" spans="2:16" s="5" customFormat="1" ht="30" x14ac:dyDescent="0.25">
      <c r="B16" s="192" t="s">
        <v>691</v>
      </c>
      <c r="C16" s="134" t="s">
        <v>43</v>
      </c>
      <c r="D16" s="175" t="s">
        <v>830</v>
      </c>
      <c r="E16" s="134" t="s">
        <v>715</v>
      </c>
      <c r="F16" s="134" t="s">
        <v>719</v>
      </c>
      <c r="G16" s="193" t="s">
        <v>720</v>
      </c>
      <c r="H16" s="193" t="s">
        <v>697</v>
      </c>
      <c r="I16" s="193" t="s">
        <v>721</v>
      </c>
      <c r="J16" s="193" t="s">
        <v>722</v>
      </c>
      <c r="K16" s="193" t="s">
        <v>698</v>
      </c>
      <c r="L16" s="193" t="s">
        <v>699</v>
      </c>
      <c r="M16" s="193" t="s">
        <v>700</v>
      </c>
      <c r="N16" s="193" t="s">
        <v>701</v>
      </c>
      <c r="O16" s="193" t="s">
        <v>702</v>
      </c>
      <c r="P16" s="193" t="s">
        <v>703</v>
      </c>
    </row>
    <row r="17" spans="2:16" s="5" customFormat="1" x14ac:dyDescent="0.25">
      <c r="B17" s="140" t="str">
        <f>IF(ISBLANK($G17)=TRUE,"",VLOOKUP($D17,Table_Measures,5,FALSE))</f>
        <v/>
      </c>
      <c r="C17" s="197" t="s">
        <v>30</v>
      </c>
      <c r="D17" s="178" t="s">
        <v>99</v>
      </c>
      <c r="E17" s="184"/>
      <c r="F17" s="206"/>
      <c r="G17" s="205"/>
      <c r="H17" s="185"/>
      <c r="I17" s="190" t="str">
        <f>IFERROR(VLOOKUP($D17,Table_Measures,4,FALSE),"")</f>
        <v>Unit</v>
      </c>
      <c r="J17" s="191" t="str">
        <f>IFERROR(VLOOKUP($D17,Table_Measures,IF(Input_ProgramType=Lookups!$B$47,2,IF(Input_ProgramType=Lookups!$B$48,3)),0),"")</f>
        <v/>
      </c>
      <c r="K17" s="208" t="str">
        <f>IF(ISBLANK($G17)=TRUE,"",$J17*$G17)</f>
        <v/>
      </c>
      <c r="L17" s="213" t="str">
        <f>IF(ISBLANK($G17)=TRUE,"",VLOOKUP($E17,Table_SteamCooker,2,FALSE)*$G17)</f>
        <v/>
      </c>
      <c r="M17" s="210" t="str">
        <f>IFERROR($L17*VLOOKUP(Input_ProgramType,Table_kWhCost,2,FALSE),"")</f>
        <v/>
      </c>
      <c r="N17" s="214" t="str">
        <f>IF(ISBLANK($G17)=TRUE,"",VLOOKUP($E17,Table_SteamCooker,3,FALSE)*$G17)</f>
        <v/>
      </c>
      <c r="O17" s="208" t="str">
        <f>IF(Other!$H17="","",Other!$H17-Other!$K17)</f>
        <v/>
      </c>
      <c r="P17" s="212" t="str">
        <f>IFERROR($O17/$M17,"")</f>
        <v/>
      </c>
    </row>
    <row r="18" spans="2:16" s="5" customFormat="1" x14ac:dyDescent="0.25">
      <c r="B18" s="140" t="str">
        <f>IF(ISBLANK($G18)=TRUE,"",VLOOKUP($D18,Table_Measures,5,FALSE))</f>
        <v/>
      </c>
      <c r="C18" s="197" t="s">
        <v>30</v>
      </c>
      <c r="D18" s="178" t="s">
        <v>101</v>
      </c>
      <c r="E18" s="184"/>
      <c r="F18" s="206"/>
      <c r="G18" s="205"/>
      <c r="H18" s="185"/>
      <c r="I18" s="190" t="str">
        <f>IFERROR(VLOOKUP($D18,Table_Measures,4,FALSE),"")</f>
        <v>Unit</v>
      </c>
      <c r="J18" s="191" t="str">
        <f>IFERROR(VLOOKUP($D18,Table_Measures,IF(Input_ProgramType=Lookups!$B$47,2,IF(Input_ProgramType=Lookups!$B$48,3)),0),"")</f>
        <v/>
      </c>
      <c r="K18" s="208" t="str">
        <f>IF(ISBLANK($G18)=TRUE,"",$J18*$G18)</f>
        <v/>
      </c>
      <c r="L18" s="213" t="str">
        <f>IF(ISBLANK($G18)=TRUE,"",VLOOKUP($E18,Table_ConvectionOven,2,FALSE)*$G18)</f>
        <v/>
      </c>
      <c r="M18" s="210" t="str">
        <f>IFERROR($L18*VLOOKUP(Input_ProgramType,Table_kWhCost,2,FALSE),"")</f>
        <v/>
      </c>
      <c r="N18" s="214" t="str">
        <f>IF(ISBLANK($G18)=TRUE,"",VLOOKUP($E18,Table_ConvectionOven,3,FALSE)*$G18)</f>
        <v/>
      </c>
      <c r="O18" s="208" t="str">
        <f>IF(Other!$H18="","",Other!$H18-Other!$K18)</f>
        <v/>
      </c>
      <c r="P18" s="212" t="str">
        <f>IFERROR($O18/$M18,"")</f>
        <v/>
      </c>
    </row>
    <row r="19" spans="2:16" s="5" customFormat="1" x14ac:dyDescent="0.25">
      <c r="B19" s="140" t="str">
        <f>IF(ISBLANK($G19)=TRUE,"",VLOOKUP($D19,Table_Measures,5,FALSE))</f>
        <v/>
      </c>
      <c r="C19" s="197" t="s">
        <v>30</v>
      </c>
      <c r="D19" s="178" t="s">
        <v>103</v>
      </c>
      <c r="E19" s="206"/>
      <c r="F19" s="206"/>
      <c r="G19" s="205"/>
      <c r="H19" s="185"/>
      <c r="I19" s="190" t="str">
        <f>IFERROR(VLOOKUP($D19,Table_Measures,4,FALSE),"")</f>
        <v>Unit</v>
      </c>
      <c r="J19" s="191" t="str">
        <f>IFERROR(VLOOKUP($D19,Table_Measures,IF(Input_ProgramType=Lookups!$B$47,2,IF(Input_ProgramType=Lookups!$B$48,3)),0),"")</f>
        <v/>
      </c>
      <c r="K19" s="208" t="str">
        <f>IF(ISBLANK($G19)=TRUE,"",$J19*$G19)</f>
        <v/>
      </c>
      <c r="L19" s="213" t="str">
        <f>IF(ISBLANK($G19)=TRUE,"",VLOOKUP($D19,Table_CombinationOven,2,FALSE)*$G19)</f>
        <v/>
      </c>
      <c r="M19" s="210" t="str">
        <f>IFERROR($L19*VLOOKUP(Input_ProgramType,Table_kWhCost,2,FALSE),"")</f>
        <v/>
      </c>
      <c r="N19" s="214" t="str">
        <f>IF(ISBLANK($G19)=TRUE,"",VLOOKUP($D19,Table_CombinationOven,3,FALSE)*$G19)</f>
        <v/>
      </c>
      <c r="O19" s="208" t="str">
        <f>IF(Other!$H19="","",Other!$H19-Other!$K19)</f>
        <v/>
      </c>
      <c r="P19" s="212" t="str">
        <f>IFERROR($O19/$M19,"")</f>
        <v/>
      </c>
    </row>
    <row r="20" spans="2:16" s="5" customFormat="1" x14ac:dyDescent="0.25">
      <c r="B20" s="140" t="str">
        <f>IF(ISBLANK($G20)=TRUE,"",VLOOKUP($D20,Table_Measures,5,FALSE))</f>
        <v/>
      </c>
      <c r="C20" s="197" t="s">
        <v>30</v>
      </c>
      <c r="D20" s="178" t="s">
        <v>104</v>
      </c>
      <c r="E20" s="206"/>
      <c r="F20" s="206"/>
      <c r="G20" s="205"/>
      <c r="H20" s="185"/>
      <c r="I20" s="190" t="str">
        <f>IFERROR(VLOOKUP($D20,Table_Measures,4,FALSE),"")</f>
        <v>Unit</v>
      </c>
      <c r="J20" s="191" t="str">
        <f>IFERROR(VLOOKUP($D20,Table_Measures,IF(Input_ProgramType=Lookups!$B$47,2,IF(Input_ProgramType=Lookups!$B$48,3)),0),"")</f>
        <v/>
      </c>
      <c r="K20" s="208" t="str">
        <f>IF(ISBLANK($G20)=TRUE,"",$J20*$G20)</f>
        <v/>
      </c>
      <c r="L20" s="213" t="str">
        <f>IF(ISBLANK($G20)=TRUE,"",VLOOKUP($D20,Table_CombinationOven,2,FALSE)*$G20)</f>
        <v/>
      </c>
      <c r="M20" s="210" t="str">
        <f>IFERROR($L20*VLOOKUP(Input_ProgramType,Table_kWhCost,2,FALSE),"")</f>
        <v/>
      </c>
      <c r="N20" s="214" t="str">
        <f>IF(ISBLANK($G20)=TRUE,"",VLOOKUP($D20,Table_CombinationOven,3,FALSE)*$G20)</f>
        <v/>
      </c>
      <c r="O20" s="208" t="str">
        <f>IF(Other!$H20="","",Other!$H20-Other!$K20)</f>
        <v/>
      </c>
      <c r="P20" s="212" t="str">
        <f>IFERROR($O20/$M20,"")</f>
        <v/>
      </c>
    </row>
    <row r="21" spans="2:16" s="5" customFormat="1" x14ac:dyDescent="0.25">
      <c r="B21" s="140" t="str">
        <f>IF(ISBLANK($G21)=TRUE,"",VLOOKUP($D21,Table_Measures,5,FALSE))</f>
        <v/>
      </c>
      <c r="C21" s="197" t="s">
        <v>30</v>
      </c>
      <c r="D21" s="178" t="s">
        <v>105</v>
      </c>
      <c r="E21" s="206"/>
      <c r="F21" s="204"/>
      <c r="G21" s="205"/>
      <c r="H21" s="185"/>
      <c r="I21" s="190" t="str">
        <f>IFERROR(VLOOKUP($D21,Table_Measures,4,FALSE),"")</f>
        <v>Unit</v>
      </c>
      <c r="J21" s="191" t="str">
        <f>IFERROR(VLOOKUP($D21,Table_Measures,IF(Input_ProgramType=Lookups!$B$47,2,IF(Input_ProgramType=Lookups!$B$48,3)),0),"")</f>
        <v/>
      </c>
      <c r="K21" s="208" t="str">
        <f>IF(ISBLANK($G21)=TRUE,"",$J21*$G21)</f>
        <v/>
      </c>
      <c r="L21" s="213" t="str">
        <f>IF(Other!$G21="","",VLOOKUP(Other!$F21,Table_IceMaker,2,FALSE)*Other!$G21)</f>
        <v/>
      </c>
      <c r="M21" s="210" t="str">
        <f>IFERROR($L21*VLOOKUP(Input_ProgramType,Table_kWhCost,2,FALSE),"")</f>
        <v/>
      </c>
      <c r="N21" s="214" t="str">
        <f>IF(ISBLANK($G21)=TRUE,"",VLOOKUP($F21,Table_IceMaker,3,FALSE)*$G21)</f>
        <v/>
      </c>
      <c r="O21" s="208" t="str">
        <f>IF(Other!$H21="","",Other!$H21-Other!$K21)</f>
        <v/>
      </c>
      <c r="P21" s="212" t="str">
        <f>IFERROR($O21/$M21,"")</f>
        <v/>
      </c>
    </row>
  </sheetData>
  <sheetProtection algorithmName="SHA-512" hashValue="sDEt2ifIhMW9/uNsa2TB3cQFSRvl+M/qVaw9bYSdwnwPfnu0tvXmcrRQQRbTY7oGGnEq6tYEzqlg2nHkNPukgA==" saltValue="daHZtpqHkpZMe6uYTMTUeg==" spinCount="100000" sheet="1" objects="1" scenarios="1"/>
  <conditionalFormatting sqref="F3">
    <cfRule type="expression" dxfId="1" priority="2">
      <formula>#REF!="Computer Power Management"</formula>
    </cfRule>
  </conditionalFormatting>
  <conditionalFormatting sqref="F4:F5">
    <cfRule type="expression" dxfId="0" priority="1">
      <formula>#REF!="Computer Power Management"</formula>
    </cfRule>
  </conditionalFormatting>
  <dataValidations count="10">
    <dataValidation type="decimal" operator="lessThanOrEqual" allowBlank="1" showInputMessage="1" showErrorMessage="1" error="The entered flow rate does not meet the minimum requirement." sqref="E5" xr:uid="{8F1F4FA9-A5E4-4F08-BBAE-B79B97F8CA4C}">
      <formula1>1.28</formula1>
    </dataValidation>
    <dataValidation type="decimal" operator="lessThanOrEqual" allowBlank="1" showInputMessage="1" showErrorMessage="1" error="The entered flow rate does not meet the minimum requirement." sqref="E4" xr:uid="{DEBB92F8-E35A-42A8-9320-D934EEB04AA8}">
      <formula1>1.75</formula1>
    </dataValidation>
    <dataValidation type="decimal" operator="lessThanOrEqual" allowBlank="1" showInputMessage="1" showErrorMessage="1" error="The entered flow rate does not meet the minimum requirement." sqref="E3" xr:uid="{C9268E28-F28C-4759-B89F-0B5B808C6C98}">
      <formula1>1.5</formula1>
    </dataValidation>
    <dataValidation type="list" allowBlank="1" showInputMessage="1" showErrorMessage="1" sqref="F4" xr:uid="{0C206077-E345-49D8-A111-3212AE806737}">
      <formula1>List_Showerhead</formula1>
    </dataValidation>
    <dataValidation type="list" allowBlank="1" showInputMessage="1" showErrorMessage="1" sqref="F5" xr:uid="{D2D72DF7-F1EC-4664-BCD4-5D8CC145E4C1}">
      <formula1>List_PRSV</formula1>
    </dataValidation>
    <dataValidation type="list" allowBlank="1" showInputMessage="1" showErrorMessage="1" sqref="F3 F5" xr:uid="{1683215B-E58A-4F66-822A-E903DD84E261}">
      <formula1>List_LowFlowBldgTypes</formula1>
    </dataValidation>
    <dataValidation type="list" allowBlank="1" showInputMessage="1" showErrorMessage="1" sqref="E7" xr:uid="{1CCC33B1-1024-4736-B325-9FE9340AB53F}">
      <formula1>List_Refrigeration</formula1>
    </dataValidation>
    <dataValidation type="list" allowBlank="1" showInputMessage="1" showErrorMessage="1" sqref="F9" xr:uid="{EC340E7C-35EE-4FB4-AE4F-C874058240F8}">
      <formula1>List_RefrSizes</formula1>
    </dataValidation>
    <dataValidation type="list" allowBlank="1" showInputMessage="1" showErrorMessage="1" sqref="E18" xr:uid="{1F860927-E940-4542-8195-2F3FB222B8D0}">
      <formula1>List_ConvectionOven</formula1>
    </dataValidation>
    <dataValidation type="list" allowBlank="1" showInputMessage="1" showErrorMessage="1" sqref="F11:F12 F14:F15" xr:uid="{8BF85376-DDEB-4DE8-959E-CF6A631CD713}">
      <formula1>INDIRECT(SUBSTITUTE(E11," ","_"))</formula1>
    </dataValidation>
  </dataValidations>
  <pageMargins left="0.7" right="0.7" top="0.75" bottom="0.75" header="0.3" footer="0.3"/>
  <pageSetup scale="75" fitToWidth="0" fitToHeight="0" orientation="landscape" verticalDpi="4294967293"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r:uid="{64F2DC24-6921-46EA-A38E-48DF0C2B7281}">
          <x14:formula1>
            <xm:f>'Savings Lookups'!$H$7:$H$9</xm:f>
          </x14:formula1>
          <xm:sqref>E8</xm:sqref>
        </x14:dataValidation>
        <x14:dataValidation type="list" allowBlank="1" showInputMessage="1" showErrorMessage="1" xr:uid="{4FD2C53D-571A-4124-8A82-4FCDA69C8315}">
          <x14:formula1>
            <xm:f>Lookups!$Y$27:$Y$28</xm:f>
          </x14:formula1>
          <xm:sqref>E9</xm:sqref>
        </x14:dataValidation>
        <x14:dataValidation type="list" allowBlank="1" showInputMessage="1" showErrorMessage="1" xr:uid="{732C15F3-DA17-4ED5-8952-B23B882376F8}">
          <x14:formula1>
            <xm:f>'Savings Lookups'!$Q$3:$Q$5</xm:f>
          </x14:formula1>
          <xm:sqref>F13</xm:sqref>
        </x14:dataValidation>
        <x14:dataValidation type="list" allowBlank="1" showInputMessage="1" showErrorMessage="1" xr:uid="{0BF0178A-E73F-48FA-8B21-179675440FF9}">
          <x14:formula1>
            <xm:f>'Savings Lookups'!$N$38:$N$41</xm:f>
          </x14:formula1>
          <xm:sqref>E17</xm:sqref>
        </x14:dataValidation>
        <x14:dataValidation type="list" allowBlank="1" showInputMessage="1" showErrorMessage="1" xr:uid="{074CD357-8F60-48F9-B203-4C16584A14B2}">
          <x14:formula1>
            <xm:f>'Savings Lookups'!$N$45:$N$50</xm:f>
          </x14:formula1>
          <xm:sqref>F21</xm:sqref>
        </x14:dataValidation>
        <x14:dataValidation type="list" allowBlank="1" showInputMessage="1" showErrorMessage="1" xr:uid="{5FAF3759-4256-4C06-B718-E69EEA9F40FA}">
          <x14:formula1>
            <xm:f>Lookups!$AA$2:$AB$2</xm:f>
          </x14:formula1>
          <xm:sqref>E11:E12 E14:E15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48BFA5-6A54-4E6D-8E10-64C7F42D0459}">
  <sheetPr>
    <tabColor theme="0" tint="-0.14999847407452621"/>
    <pageSetUpPr fitToPage="1"/>
  </sheetPr>
  <dimension ref="A1:E52"/>
  <sheetViews>
    <sheetView showGridLines="0" showRowColHeaders="0" view="pageBreakPreview" zoomScale="110" zoomScaleNormal="70" zoomScaleSheetLayoutView="110" workbookViewId="0">
      <selection activeCell="C7" sqref="C7:E7"/>
    </sheetView>
  </sheetViews>
  <sheetFormatPr defaultRowHeight="14.25" x14ac:dyDescent="0.2"/>
  <cols>
    <col min="1" max="1" width="26.28515625" style="6" customWidth="1"/>
    <col min="2" max="2" width="32.85546875" style="6" customWidth="1"/>
    <col min="3" max="3" width="19.140625" style="6" customWidth="1"/>
    <col min="4" max="4" width="15.7109375" style="6" customWidth="1"/>
    <col min="5" max="5" width="15.5703125" style="6" customWidth="1"/>
    <col min="6" max="16384" width="9.140625" style="6"/>
  </cols>
  <sheetData>
    <row r="1" spans="1:5" x14ac:dyDescent="0.2">
      <c r="A1" s="310"/>
      <c r="B1" s="310"/>
      <c r="C1" s="310"/>
      <c r="D1" s="310"/>
      <c r="E1" s="310"/>
    </row>
    <row r="2" spans="1:5" ht="45" customHeight="1" x14ac:dyDescent="0.35">
      <c r="A2" s="311"/>
      <c r="B2" s="312"/>
      <c r="C2" s="312"/>
      <c r="D2" s="312"/>
      <c r="E2" s="312"/>
    </row>
    <row r="3" spans="1:5" ht="33" customHeight="1" x14ac:dyDescent="0.4">
      <c r="A3" s="313" t="s">
        <v>723</v>
      </c>
      <c r="B3" s="312"/>
      <c r="C3" s="312"/>
      <c r="D3" s="312"/>
      <c r="E3" s="312"/>
    </row>
    <row r="4" spans="1:5" ht="18.75" thickBot="1" x14ac:dyDescent="0.3">
      <c r="A4" s="314" t="s">
        <v>724</v>
      </c>
      <c r="B4" s="312"/>
      <c r="C4" s="312"/>
      <c r="D4" s="312"/>
      <c r="E4" s="312"/>
    </row>
    <row r="5" spans="1:5" s="315" customFormat="1" ht="15" customHeight="1" x14ac:dyDescent="0.2">
      <c r="A5" s="395" t="s">
        <v>725</v>
      </c>
      <c r="B5" s="346" t="s">
        <v>729</v>
      </c>
      <c r="C5" s="398" t="str">
        <f>IF(ISNUMBER(QC!B1)=TRUE,QC!B1,"")</f>
        <v/>
      </c>
      <c r="D5" s="398"/>
      <c r="E5" s="398"/>
    </row>
    <row r="6" spans="1:5" s="315" customFormat="1" ht="15" x14ac:dyDescent="0.2">
      <c r="A6" s="396"/>
      <c r="B6" s="346" t="s">
        <v>731</v>
      </c>
      <c r="C6" s="398" t="str">
        <f>'Fillable Application &amp; Instruct'!F29&amp;", "&amp;'Fillable Application &amp; Instruct'!F30&amp;", "&amp;'Fillable Application &amp; Instruct'!F31&amp;" "&amp;'Fillable Application &amp; Instruct'!F32</f>
        <v xml:space="preserve">, ,  </v>
      </c>
      <c r="D6" s="398"/>
      <c r="E6" s="398"/>
    </row>
    <row r="7" spans="1:5" s="315" customFormat="1" ht="15" x14ac:dyDescent="0.2">
      <c r="A7" s="397"/>
      <c r="B7" s="347" t="s">
        <v>730</v>
      </c>
      <c r="C7" s="399"/>
      <c r="D7" s="399"/>
      <c r="E7" s="399"/>
    </row>
    <row r="8" spans="1:5" s="315" customFormat="1" ht="15" customHeight="1" x14ac:dyDescent="0.2">
      <c r="A8" s="400" t="s">
        <v>726</v>
      </c>
      <c r="B8" s="346" t="s">
        <v>732</v>
      </c>
      <c r="C8" s="398" t="str">
        <f>IF(ISTEXT('Fillable Application &amp; Instruct'!C8)=TRUE,'Fillable Application &amp; Instruct'!C8,"")</f>
        <v/>
      </c>
      <c r="D8" s="398"/>
      <c r="E8" s="398"/>
    </row>
    <row r="9" spans="1:5" s="315" customFormat="1" ht="15.75" thickBot="1" x14ac:dyDescent="0.25">
      <c r="A9" s="401"/>
      <c r="B9" s="346" t="s">
        <v>782</v>
      </c>
      <c r="C9" s="398" t="str">
        <f>IF(ISTEXT('Fillable Application &amp; Instruct'!C17)=TRUE,'Fillable Application &amp; Instruct'!C17,"")</f>
        <v/>
      </c>
      <c r="D9" s="398"/>
      <c r="E9" s="398"/>
    </row>
    <row r="10" spans="1:5" s="315" customFormat="1" ht="7.5" customHeight="1" thickBot="1" x14ac:dyDescent="0.25">
      <c r="A10" s="316"/>
      <c r="B10" s="316"/>
      <c r="C10" s="316"/>
      <c r="D10" s="316"/>
      <c r="E10" s="316"/>
    </row>
    <row r="11" spans="1:5" s="315" customFormat="1" ht="4.5" customHeight="1" x14ac:dyDescent="0.2">
      <c r="A11" s="317"/>
      <c r="B11" s="317"/>
      <c r="C11" s="317"/>
      <c r="D11" s="317"/>
      <c r="E11" s="317"/>
    </row>
    <row r="12" spans="1:5" s="315" customFormat="1" ht="15.75" x14ac:dyDescent="0.25">
      <c r="A12" s="318" t="s">
        <v>736</v>
      </c>
      <c r="B12" s="319"/>
      <c r="C12" s="319"/>
      <c r="D12" s="317"/>
      <c r="E12" s="317"/>
    </row>
    <row r="13" spans="1:5" ht="12" customHeight="1" x14ac:dyDescent="0.2">
      <c r="A13" s="320" t="s">
        <v>521</v>
      </c>
      <c r="B13" s="320"/>
      <c r="C13" s="320"/>
      <c r="D13" s="312"/>
      <c r="E13" s="312"/>
    </row>
    <row r="14" spans="1:5" s="315" customFormat="1" ht="7.5" customHeight="1" x14ac:dyDescent="0.2">
      <c r="A14" s="317"/>
      <c r="B14" s="317"/>
      <c r="C14" s="317"/>
      <c r="D14" s="317"/>
      <c r="E14" s="317"/>
    </row>
    <row r="15" spans="1:5" s="315" customFormat="1" ht="45" x14ac:dyDescent="0.2">
      <c r="A15" s="392" t="s">
        <v>728</v>
      </c>
      <c r="B15" s="321" t="s">
        <v>733</v>
      </c>
      <c r="C15" s="322" t="s">
        <v>768</v>
      </c>
      <c r="D15" s="322" t="s">
        <v>769</v>
      </c>
      <c r="E15" s="322" t="s">
        <v>770</v>
      </c>
    </row>
    <row r="16" spans="1:5" s="315" customFormat="1" ht="15" x14ac:dyDescent="0.2">
      <c r="A16" s="392"/>
      <c r="B16" s="323" t="s">
        <v>734</v>
      </c>
      <c r="C16" s="324">
        <f>Summary!C11</f>
        <v>0</v>
      </c>
      <c r="D16" s="325">
        <f>Summary!E11</f>
        <v>0</v>
      </c>
      <c r="E16" s="324" t="e">
        <f>Summary!D11*(Summary!D13/SUM(Summary!D10:D12))</f>
        <v>#DIV/0!</v>
      </c>
    </row>
    <row r="17" spans="1:5" s="315" customFormat="1" ht="15" x14ac:dyDescent="0.2">
      <c r="A17" s="392"/>
      <c r="B17" s="323" t="s">
        <v>705</v>
      </c>
      <c r="C17" s="324">
        <f>Summary!C12</f>
        <v>0</v>
      </c>
      <c r="D17" s="325">
        <f>Summary!E12</f>
        <v>0</v>
      </c>
      <c r="E17" s="324" t="e">
        <f>Summary!D12*(Summary!D13/SUM(Summary!D10:D12))</f>
        <v>#DIV/0!</v>
      </c>
    </row>
    <row r="18" spans="1:5" s="315" customFormat="1" ht="15" x14ac:dyDescent="0.2">
      <c r="A18" s="392"/>
      <c r="B18" s="323" t="s">
        <v>522</v>
      </c>
      <c r="C18" s="324">
        <f>Summary!C10</f>
        <v>0</v>
      </c>
      <c r="D18" s="325">
        <f>Summary!E10</f>
        <v>0</v>
      </c>
      <c r="E18" s="324" t="e">
        <f>Summary!D10*(Summary!D13/SUM(Summary!D10:D12))</f>
        <v>#DIV/0!</v>
      </c>
    </row>
    <row r="19" spans="1:5" s="315" customFormat="1" ht="15" x14ac:dyDescent="0.2">
      <c r="A19" s="392"/>
      <c r="B19" s="326" t="s">
        <v>735</v>
      </c>
      <c r="C19" s="327"/>
      <c r="D19" s="328"/>
      <c r="E19" s="327"/>
    </row>
    <row r="20" spans="1:5" s="315" customFormat="1" ht="15" x14ac:dyDescent="0.2">
      <c r="A20" s="392"/>
      <c r="B20" s="323" t="s">
        <v>616</v>
      </c>
      <c r="C20" s="324">
        <f>Summary!C3</f>
        <v>0</v>
      </c>
      <c r="D20" s="325"/>
      <c r="E20" s="324"/>
    </row>
    <row r="21" spans="1:5" s="315" customFormat="1" ht="15" x14ac:dyDescent="0.2">
      <c r="A21" s="392"/>
      <c r="B21" s="323" t="s">
        <v>617</v>
      </c>
      <c r="C21" s="324">
        <f>Summary!C4</f>
        <v>0</v>
      </c>
      <c r="D21" s="325"/>
      <c r="E21" s="324"/>
    </row>
    <row r="22" spans="1:5" s="315" customFormat="1" ht="15" x14ac:dyDescent="0.2">
      <c r="A22" s="392"/>
      <c r="B22" s="323" t="s">
        <v>618</v>
      </c>
      <c r="C22" s="324">
        <f>Summary!C5</f>
        <v>0</v>
      </c>
      <c r="D22" s="325"/>
      <c r="E22" s="324"/>
    </row>
    <row r="23" spans="1:5" s="315" customFormat="1" ht="15" x14ac:dyDescent="0.2">
      <c r="A23" s="392"/>
      <c r="B23" s="323" t="s">
        <v>523</v>
      </c>
      <c r="C23" s="324">
        <f>SUM(C16:C18,C20:C22)</f>
        <v>0</v>
      </c>
      <c r="D23" s="325">
        <f>SUM(D16:D18)</f>
        <v>0</v>
      </c>
      <c r="E23" s="324" t="e">
        <f>SUM(E16:E18)</f>
        <v>#DIV/0!</v>
      </c>
    </row>
    <row r="24" spans="1:5" s="315" customFormat="1" ht="7.5" customHeight="1" thickBot="1" x14ac:dyDescent="0.25">
      <c r="A24" s="316"/>
      <c r="B24" s="316"/>
      <c r="C24" s="316"/>
      <c r="D24" s="316"/>
      <c r="E24" s="316"/>
    </row>
    <row r="25" spans="1:5" s="315" customFormat="1" ht="4.5" customHeight="1" x14ac:dyDescent="0.2">
      <c r="A25" s="317"/>
      <c r="B25" s="317"/>
      <c r="C25" s="317"/>
      <c r="D25" s="317"/>
      <c r="E25" s="317"/>
    </row>
    <row r="26" spans="1:5" s="315" customFormat="1" ht="15" x14ac:dyDescent="0.2">
      <c r="A26" s="329" t="s">
        <v>727</v>
      </c>
      <c r="B26" s="330"/>
      <c r="C26" s="317"/>
      <c r="D26" s="317"/>
      <c r="E26" s="317"/>
    </row>
    <row r="27" spans="1:5" s="315" customFormat="1" ht="7.5" customHeight="1" x14ac:dyDescent="0.2">
      <c r="A27" s="317"/>
      <c r="B27" s="317"/>
      <c r="C27" s="317"/>
      <c r="D27" s="317"/>
      <c r="E27" s="317"/>
    </row>
    <row r="28" spans="1:5" s="315" customFormat="1" ht="25.5" customHeight="1" x14ac:dyDescent="0.2">
      <c r="A28" s="331" t="s">
        <v>738</v>
      </c>
      <c r="B28" s="332"/>
      <c r="C28" s="331" t="s">
        <v>739</v>
      </c>
      <c r="D28" s="333"/>
      <c r="E28" s="333"/>
    </row>
    <row r="29" spans="1:5" s="315" customFormat="1" ht="25.5" customHeight="1" x14ac:dyDescent="0.2">
      <c r="A29" s="331" t="s">
        <v>524</v>
      </c>
      <c r="B29" s="332"/>
      <c r="C29" s="331" t="s">
        <v>783</v>
      </c>
      <c r="D29" s="333"/>
      <c r="E29" s="333"/>
    </row>
    <row r="30" spans="1:5" s="315" customFormat="1" ht="25.5" customHeight="1" x14ac:dyDescent="0.2">
      <c r="A30" s="331" t="s">
        <v>740</v>
      </c>
      <c r="B30" s="333" t="s">
        <v>637</v>
      </c>
      <c r="C30" s="333"/>
      <c r="D30" s="333"/>
      <c r="E30" s="333"/>
    </row>
    <row r="31" spans="1:5" s="315" customFormat="1" ht="25.5" customHeight="1" x14ac:dyDescent="0.2">
      <c r="A31" s="334" t="s">
        <v>638</v>
      </c>
      <c r="B31" s="335"/>
      <c r="C31" s="335"/>
      <c r="D31" s="336"/>
      <c r="E31" s="337"/>
    </row>
    <row r="32" spans="1:5" s="315" customFormat="1" ht="7.5" customHeight="1" x14ac:dyDescent="0.2">
      <c r="A32" s="286"/>
      <c r="B32" s="286"/>
      <c r="C32" s="286"/>
      <c r="D32" s="286"/>
      <c r="E32" s="286"/>
    </row>
    <row r="33" spans="1:5" s="315" customFormat="1" ht="4.5" customHeight="1" x14ac:dyDescent="0.2">
      <c r="A33" s="338"/>
      <c r="B33" s="338"/>
      <c r="C33" s="338"/>
      <c r="D33" s="338"/>
      <c r="E33" s="338"/>
    </row>
    <row r="34" spans="1:5" s="315" customFormat="1" ht="42.75" customHeight="1" x14ac:dyDescent="0.2">
      <c r="A34" s="393" t="s">
        <v>784</v>
      </c>
      <c r="B34" s="394"/>
      <c r="C34" s="394"/>
      <c r="D34" s="394"/>
      <c r="E34" s="394"/>
    </row>
    <row r="35" spans="1:5" s="315" customFormat="1" ht="48" hidden="1" customHeight="1" x14ac:dyDescent="0.2">
      <c r="A35" s="317"/>
      <c r="B35" s="317"/>
      <c r="C35" s="317"/>
      <c r="D35" s="317"/>
      <c r="E35" s="317"/>
    </row>
    <row r="36" spans="1:5" s="315" customFormat="1" ht="10.5" customHeight="1" x14ac:dyDescent="0.2">
      <c r="A36" s="339" t="s">
        <v>525</v>
      </c>
      <c r="B36" s="319"/>
      <c r="C36" s="319"/>
      <c r="D36" s="319"/>
      <c r="E36" s="319"/>
    </row>
    <row r="37" spans="1:5" s="315" customFormat="1" ht="15" customHeight="1" x14ac:dyDescent="0.2">
      <c r="A37" s="317"/>
      <c r="B37" s="317"/>
      <c r="C37" s="317"/>
      <c r="D37" s="317"/>
      <c r="E37" s="317"/>
    </row>
    <row r="38" spans="1:5" s="342" customFormat="1" ht="15" x14ac:dyDescent="0.2">
      <c r="A38" s="329" t="s">
        <v>762</v>
      </c>
      <c r="B38" s="340"/>
      <c r="C38" s="340"/>
      <c r="D38" s="329" t="s">
        <v>636</v>
      </c>
      <c r="E38" s="341"/>
    </row>
    <row r="39" spans="1:5" s="315" customFormat="1" ht="7.5" customHeight="1" x14ac:dyDescent="0.2">
      <c r="A39" s="343"/>
      <c r="B39" s="343"/>
      <c r="C39" s="343"/>
      <c r="D39" s="343"/>
      <c r="E39" s="343"/>
    </row>
    <row r="40" spans="1:5" s="315" customFormat="1" ht="4.5" customHeight="1" x14ac:dyDescent="0.2">
      <c r="A40" s="317"/>
      <c r="B40" s="317"/>
      <c r="C40" s="317"/>
      <c r="D40" s="317"/>
      <c r="E40" s="317"/>
    </row>
    <row r="41" spans="1:5" s="315" customFormat="1" ht="15" x14ac:dyDescent="0.2">
      <c r="A41" s="320" t="s">
        <v>737</v>
      </c>
      <c r="B41" s="319"/>
      <c r="C41" s="319"/>
      <c r="D41" s="319"/>
      <c r="E41" s="319"/>
    </row>
    <row r="42" spans="1:5" s="315" customFormat="1" ht="15.75" x14ac:dyDescent="0.25">
      <c r="A42" s="320" t="s">
        <v>789</v>
      </c>
      <c r="B42" s="319"/>
      <c r="C42" s="319"/>
      <c r="D42" s="319"/>
      <c r="E42" s="319"/>
    </row>
    <row r="43" spans="1:5" s="315" customFormat="1" ht="15" x14ac:dyDescent="0.2">
      <c r="A43" s="344" t="s">
        <v>785</v>
      </c>
      <c r="B43" s="319"/>
      <c r="C43" s="319"/>
      <c r="D43" s="319"/>
      <c r="E43" s="319"/>
    </row>
    <row r="44" spans="1:5" s="315" customFormat="1" ht="15" x14ac:dyDescent="0.2">
      <c r="A44" s="344" t="s">
        <v>526</v>
      </c>
      <c r="B44" s="319"/>
      <c r="C44" s="319"/>
      <c r="D44" s="319"/>
      <c r="E44" s="319"/>
    </row>
    <row r="45" spans="1:5" s="315" customFormat="1" ht="15" x14ac:dyDescent="0.2">
      <c r="A45" s="344" t="s">
        <v>527</v>
      </c>
      <c r="B45" s="319"/>
      <c r="C45" s="319"/>
      <c r="D45" s="319"/>
      <c r="E45" s="319"/>
    </row>
    <row r="46" spans="1:5" s="315" customFormat="1" ht="15" x14ac:dyDescent="0.2">
      <c r="A46" s="344" t="s">
        <v>786</v>
      </c>
      <c r="B46" s="319"/>
      <c r="C46" s="319"/>
      <c r="D46" s="319"/>
      <c r="E46" s="319"/>
    </row>
    <row r="47" spans="1:5" s="315" customFormat="1" ht="15" x14ac:dyDescent="0.2">
      <c r="A47" s="319"/>
      <c r="B47" s="319"/>
      <c r="C47" s="319"/>
      <c r="D47" s="319"/>
      <c r="E47" s="319"/>
    </row>
    <row r="48" spans="1:5" s="315" customFormat="1" ht="12" customHeight="1" x14ac:dyDescent="0.2">
      <c r="A48" s="391" t="s">
        <v>843</v>
      </c>
      <c r="B48" s="391"/>
      <c r="C48" s="391"/>
      <c r="D48" s="319"/>
      <c r="E48" s="319"/>
    </row>
    <row r="49" spans="1:5" ht="10.5" customHeight="1" x14ac:dyDescent="0.2">
      <c r="A49" s="345" t="s">
        <v>790</v>
      </c>
      <c r="B49" s="320"/>
      <c r="C49" s="320"/>
      <c r="D49" s="320"/>
      <c r="E49" s="320"/>
    </row>
    <row r="50" spans="1:5" ht="10.5" customHeight="1" x14ac:dyDescent="0.2">
      <c r="A50" s="345"/>
      <c r="B50" s="320"/>
      <c r="C50" s="320"/>
      <c r="D50" s="320"/>
      <c r="E50" s="320"/>
    </row>
    <row r="51" spans="1:5" x14ac:dyDescent="0.2">
      <c r="A51" s="312"/>
      <c r="B51" s="312"/>
      <c r="C51" s="312"/>
      <c r="D51" s="312"/>
      <c r="E51" s="312"/>
    </row>
    <row r="52" spans="1:5" x14ac:dyDescent="0.2">
      <c r="A52" s="312"/>
      <c r="B52" s="312"/>
      <c r="C52" s="312"/>
      <c r="D52" s="312"/>
      <c r="E52" s="312"/>
    </row>
  </sheetData>
  <sheetProtection algorithmName="SHA-512" hashValue="Nk3bDymI7NHwKnnakXpykcc34lIO+DcrqUybTPvvjAaiEB0Bt9HB3OoMhY/4KQUJ6Z9WV6jXhZ8PYOHw0XH+bA==" saltValue="jQGvgzUjacVcyClaTtmyIw==" spinCount="100000" sheet="1" objects="1" scenarios="1"/>
  <mergeCells count="10">
    <mergeCell ref="A48:C48"/>
    <mergeCell ref="A15:A23"/>
    <mergeCell ref="A34:E34"/>
    <mergeCell ref="A5:A7"/>
    <mergeCell ref="C5:E5"/>
    <mergeCell ref="C6:E6"/>
    <mergeCell ref="C7:E7"/>
    <mergeCell ref="A8:A9"/>
    <mergeCell ref="C8:E8"/>
    <mergeCell ref="C9:E9"/>
  </mergeCells>
  <pageMargins left="0.25" right="0.25" top="0.5" bottom="0.25" header="0.3" footer="0.3"/>
  <pageSetup scale="93"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D3DE27-B653-4902-BE39-CC97577E4560}">
  <sheetPr>
    <tabColor theme="0" tint="-0.14999847407452621"/>
  </sheetPr>
  <dimension ref="A1:CI87"/>
  <sheetViews>
    <sheetView showGridLines="0" zoomScale="90" zoomScaleNormal="90" workbookViewId="0">
      <selection activeCell="B1" sqref="B1"/>
    </sheetView>
  </sheetViews>
  <sheetFormatPr defaultRowHeight="15" x14ac:dyDescent="0.25"/>
  <cols>
    <col min="1" max="1" width="64.85546875" style="71" bestFit="1" customWidth="1"/>
    <col min="2" max="2" width="26" style="3" customWidth="1"/>
    <col min="3" max="3" width="29.140625" style="3" customWidth="1"/>
  </cols>
  <sheetData>
    <row r="1" spans="1:87" ht="20.25" thickBot="1" x14ac:dyDescent="0.35">
      <c r="A1" s="225" t="s">
        <v>506</v>
      </c>
      <c r="B1" s="69"/>
      <c r="E1" s="31" t="s">
        <v>539</v>
      </c>
      <c r="F1" s="31"/>
      <c r="G1" s="31"/>
      <c r="H1" s="31"/>
      <c r="I1" s="31"/>
      <c r="J1" s="31"/>
      <c r="K1" s="31"/>
      <c r="L1" s="31"/>
      <c r="N1" s="31" t="s">
        <v>534</v>
      </c>
      <c r="O1" s="31"/>
      <c r="P1" s="31"/>
      <c r="Q1" s="31"/>
      <c r="R1" s="31"/>
      <c r="S1" s="31"/>
      <c r="T1" s="31"/>
      <c r="U1" s="31"/>
      <c r="V1" s="31"/>
      <c r="AB1" s="31" t="s">
        <v>541</v>
      </c>
      <c r="AC1" s="31"/>
      <c r="AD1" s="31"/>
      <c r="AE1" s="31"/>
      <c r="AF1" s="31"/>
      <c r="AG1" s="31"/>
      <c r="AH1" s="31"/>
      <c r="AI1" s="31"/>
      <c r="AJ1" s="31"/>
      <c r="AK1" s="31"/>
      <c r="AL1" s="31"/>
      <c r="AM1" s="31"/>
      <c r="AN1" s="31"/>
      <c r="AO1" s="31"/>
      <c r="AP1" s="31"/>
      <c r="AQ1" s="31"/>
      <c r="BK1" s="31" t="s">
        <v>542</v>
      </c>
      <c r="BL1" s="31"/>
      <c r="BM1" s="31"/>
      <c r="BN1" s="31"/>
      <c r="BO1" s="31"/>
      <c r="BP1" s="31"/>
      <c r="BQ1" s="31"/>
      <c r="BR1" s="31"/>
      <c r="BS1" s="31"/>
      <c r="BT1" s="31"/>
      <c r="CC1" s="31" t="s">
        <v>543</v>
      </c>
      <c r="CD1" s="31"/>
      <c r="CE1" s="31"/>
      <c r="CF1" s="31"/>
      <c r="CG1" s="31"/>
      <c r="CH1" s="31"/>
      <c r="CI1" s="31"/>
    </row>
    <row r="2" spans="1:87" ht="15.75" thickTop="1" x14ac:dyDescent="0.25">
      <c r="A2" s="3"/>
      <c r="E2" s="70"/>
    </row>
    <row r="4" spans="1:87" x14ac:dyDescent="0.25">
      <c r="A4" s="71" t="s">
        <v>508</v>
      </c>
      <c r="B4" s="227" t="s">
        <v>509</v>
      </c>
      <c r="C4" s="227" t="s">
        <v>510</v>
      </c>
    </row>
    <row r="5" spans="1:87" x14ac:dyDescent="0.25">
      <c r="A5" s="226" t="s">
        <v>1</v>
      </c>
      <c r="B5" s="72"/>
      <c r="C5" s="72"/>
    </row>
    <row r="6" spans="1:87" x14ac:dyDescent="0.25">
      <c r="A6" s="226" t="s">
        <v>511</v>
      </c>
      <c r="B6" s="72"/>
      <c r="C6" s="72"/>
    </row>
    <row r="7" spans="1:87" x14ac:dyDescent="0.25">
      <c r="A7" s="226" t="s">
        <v>513</v>
      </c>
      <c r="B7" s="72"/>
      <c r="C7" s="72"/>
    </row>
    <row r="8" spans="1:87" x14ac:dyDescent="0.25">
      <c r="A8" s="226" t="s">
        <v>514</v>
      </c>
      <c r="B8" s="73"/>
      <c r="C8" s="73"/>
    </row>
    <row r="9" spans="1:87" x14ac:dyDescent="0.25">
      <c r="A9" s="226" t="s">
        <v>515</v>
      </c>
      <c r="B9" s="73"/>
      <c r="C9" s="73"/>
    </row>
    <row r="10" spans="1:87" x14ac:dyDescent="0.25">
      <c r="A10" s="226" t="s">
        <v>516</v>
      </c>
      <c r="B10" s="73"/>
      <c r="C10" s="73"/>
    </row>
    <row r="11" spans="1:87" x14ac:dyDescent="0.25">
      <c r="A11" s="226" t="s">
        <v>634</v>
      </c>
      <c r="B11" s="73"/>
      <c r="C11" s="73"/>
    </row>
    <row r="12" spans="1:87" x14ac:dyDescent="0.25">
      <c r="A12" s="226" t="s">
        <v>635</v>
      </c>
      <c r="B12" s="73"/>
      <c r="C12" s="73"/>
    </row>
    <row r="13" spans="1:87" x14ac:dyDescent="0.25">
      <c r="A13" s="226" t="s">
        <v>512</v>
      </c>
      <c r="B13" s="73"/>
      <c r="C13" s="73"/>
    </row>
    <row r="15" spans="1:87" x14ac:dyDescent="0.25">
      <c r="A15" s="74"/>
    </row>
    <row r="16" spans="1:87" x14ac:dyDescent="0.25">
      <c r="A16" s="75" t="s">
        <v>517</v>
      </c>
    </row>
    <row r="17" spans="1:21" x14ac:dyDescent="0.25">
      <c r="A17" s="226" t="s">
        <v>529</v>
      </c>
      <c r="B17" s="72"/>
    </row>
    <row r="18" spans="1:21" x14ac:dyDescent="0.25">
      <c r="A18" s="228" t="s">
        <v>536</v>
      </c>
      <c r="B18" s="72"/>
    </row>
    <row r="19" spans="1:21" x14ac:dyDescent="0.25">
      <c r="A19" s="228" t="s">
        <v>535</v>
      </c>
      <c r="B19" s="72"/>
    </row>
    <row r="20" spans="1:21" s="3" customFormat="1" x14ac:dyDescent="0.25">
      <c r="A20" s="229" t="s">
        <v>533</v>
      </c>
      <c r="B20" s="72"/>
      <c r="D20"/>
      <c r="E20"/>
    </row>
    <row r="21" spans="1:21" s="3" customFormat="1" x14ac:dyDescent="0.25">
      <c r="A21" s="229" t="s">
        <v>518</v>
      </c>
      <c r="B21" s="72"/>
      <c r="D21"/>
      <c r="E21"/>
    </row>
    <row r="22" spans="1:21" s="3" customFormat="1" x14ac:dyDescent="0.25">
      <c r="A22" s="229" t="s">
        <v>519</v>
      </c>
      <c r="B22" s="72"/>
      <c r="D22"/>
      <c r="E22"/>
    </row>
    <row r="23" spans="1:21" ht="20.25" thickBot="1" x14ac:dyDescent="0.35">
      <c r="A23" s="226" t="s">
        <v>520</v>
      </c>
      <c r="B23" s="72"/>
      <c r="N23" s="31" t="s">
        <v>545</v>
      </c>
      <c r="O23" s="31"/>
      <c r="P23" s="31"/>
      <c r="Q23" s="31"/>
      <c r="R23" s="31"/>
      <c r="S23" s="31"/>
      <c r="T23" s="31"/>
      <c r="U23" s="31"/>
    </row>
    <row r="24" spans="1:21" ht="21" thickTop="1" thickBot="1" x14ac:dyDescent="0.35">
      <c r="A24" s="230" t="s">
        <v>528</v>
      </c>
      <c r="B24" s="72"/>
      <c r="N24" s="31" t="s">
        <v>544</v>
      </c>
      <c r="O24" s="31"/>
      <c r="P24" s="31"/>
      <c r="Q24" s="31"/>
      <c r="R24" s="31"/>
      <c r="S24" s="31"/>
      <c r="T24" s="31"/>
      <c r="U24" s="31"/>
    </row>
    <row r="25" spans="1:21" ht="15.75" thickTop="1" x14ac:dyDescent="0.25">
      <c r="A25" s="230" t="s">
        <v>531</v>
      </c>
      <c r="B25" s="72"/>
    </row>
    <row r="26" spans="1:21" x14ac:dyDescent="0.25">
      <c r="A26" s="225" t="s">
        <v>530</v>
      </c>
      <c r="B26" s="72"/>
      <c r="C26" s="76" t="s">
        <v>532</v>
      </c>
    </row>
    <row r="27" spans="1:21" x14ac:dyDescent="0.25">
      <c r="A27" s="3"/>
    </row>
    <row r="28" spans="1:21" x14ac:dyDescent="0.25">
      <c r="A28" s="70" t="s">
        <v>507</v>
      </c>
    </row>
    <row r="29" spans="1:21" ht="15.75" thickBot="1" x14ac:dyDescent="0.3"/>
    <row r="30" spans="1:21" ht="15.75" thickBot="1" x14ac:dyDescent="0.3">
      <c r="B30" s="129" t="s">
        <v>620</v>
      </c>
      <c r="C30" s="129" t="s">
        <v>651</v>
      </c>
    </row>
    <row r="31" spans="1:21" x14ac:dyDescent="0.25">
      <c r="B31" s="93"/>
      <c r="C31" s="103"/>
      <c r="D31" s="99">
        <f>IF(Summary!$C$13=Summary!$D$13,0,MIN(QC!$B$31*Summary!$D$13,Value_Max_Incentive-Summary!D13,Summary!C13-Summary!D13))</f>
        <v>0</v>
      </c>
    </row>
    <row r="32" spans="1:21" x14ac:dyDescent="0.25">
      <c r="B32" s="224" t="s">
        <v>244</v>
      </c>
      <c r="C32" s="224" t="s">
        <v>654</v>
      </c>
    </row>
    <row r="33" spans="2:3" x14ac:dyDescent="0.25">
      <c r="B33" s="105">
        <f>Input_ProgramType</f>
        <v>0</v>
      </c>
      <c r="C33" s="106">
        <f>IF($B$33="Small C&amp;I (&lt;100 kW average monthly peak demand)",30000,100000)</f>
        <v>100000</v>
      </c>
    </row>
    <row r="55" spans="14:21" ht="20.25" thickBot="1" x14ac:dyDescent="0.35">
      <c r="N55" s="31" t="s">
        <v>537</v>
      </c>
      <c r="O55" s="31"/>
      <c r="P55" s="31"/>
      <c r="Q55" s="31"/>
      <c r="R55" s="31"/>
      <c r="S55" s="31"/>
      <c r="T55" s="31"/>
      <c r="U55" s="31"/>
    </row>
    <row r="56" spans="14:21" ht="15.75" thickTop="1" x14ac:dyDescent="0.25">
      <c r="N56" t="s">
        <v>538</v>
      </c>
    </row>
    <row r="86" spans="14:21" ht="20.25" thickBot="1" x14ac:dyDescent="0.35">
      <c r="N86" s="31" t="s">
        <v>540</v>
      </c>
      <c r="O86" s="31"/>
      <c r="P86" s="31"/>
      <c r="Q86" s="31"/>
      <c r="R86" s="31"/>
      <c r="S86" s="31"/>
      <c r="T86" s="31"/>
      <c r="U86" s="31"/>
    </row>
    <row r="87" spans="14:21" ht="15.75" thickTop="1" x14ac:dyDescent="0.25"/>
  </sheetData>
  <hyperlinks>
    <hyperlink ref="A18" location="QC!N1" display="HVAC Supply/Return/Exhaust (&lt; 10 hp)" xr:uid="{A30E27BE-5B0E-4D63-8B58-7CF604D6618F}"/>
    <hyperlink ref="A19" location="QC!N22" display="Cooling Tower Fans" xr:uid="{BDB0D50D-12FE-472B-9EF5-60E5E1206BC3}"/>
    <hyperlink ref="A20" location="QC!N56" display="Demand-Controlled Ventilation (HVAC, kitchen, parking garage)" xr:uid="{393DB95C-69FC-4B02-AAB7-CBA7EED1D4B0}"/>
    <hyperlink ref="A21" location="QC!N87" display="Economizers" xr:uid="{13400F76-CE2B-4068-BDF1-675516D624A3}"/>
    <hyperlink ref="A24" location="QC!AB1" display="Insulation" xr:uid="{61220F78-2ED8-44A4-BDF6-CD390A712E6E}"/>
    <hyperlink ref="A25" location="QC!AB1" display="Windows" xr:uid="{AA836DD9-74B8-49D4-8B0D-CB29CF24CDD4}"/>
    <hyperlink ref="A22" location="QC!BK1" display="Heat Pump Water Heaters" xr:uid="{9C198E88-3AD1-4E48-A7F2-454C670BD0FC}"/>
  </hyperlink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6b2b484f-4c19-4c24-b89d-0399ef7e60bb" xsi:nil="true"/>
    <lcf76f155ced4ddcb4097134ff3c332f xmlns="b5cfd83b-967a-4dd6-b4c3-395873c23523">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BE389EA3527F41A12B5160341A5618" ma:contentTypeVersion="54" ma:contentTypeDescription="Create a new document." ma:contentTypeScope="" ma:versionID="ffc86f2881602955b170c724c926df9a">
  <xsd:schema xmlns:xsd="http://www.w3.org/2001/XMLSchema" xmlns:xs="http://www.w3.org/2001/XMLSchema" xmlns:p="http://schemas.microsoft.com/office/2006/metadata/properties" xmlns:ns2="b5cfd83b-967a-4dd6-b4c3-395873c23523" xmlns:ns3="08b87bea-166c-4b49-8da3-b6b44dc13847" xmlns:ns4="6b2b484f-4c19-4c24-b89d-0399ef7e60bb" targetNamespace="http://schemas.microsoft.com/office/2006/metadata/properties" ma:root="true" ma:fieldsID="cf7b7ef6dae34e3a1b45c3159704dfce" ns2:_="" ns3:_="" ns4:_="">
    <xsd:import namespace="b5cfd83b-967a-4dd6-b4c3-395873c23523"/>
    <xsd:import namespace="08b87bea-166c-4b49-8da3-b6b44dc13847"/>
    <xsd:import namespace="6b2b484f-4c19-4c24-b89d-0399ef7e60b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4:TaxCatchAll" minOccurs="0"/>
                <xsd:element ref="ns2:MediaServiceOCR" minOccurs="0"/>
                <xsd:element ref="ns2:MediaServiceGenerationTime" minOccurs="0"/>
                <xsd:element ref="ns2:MediaServiceEventHashCode" minOccurs="0"/>
                <xsd:element ref="ns2:MediaServiceObjectDetectorVersions" minOccurs="0"/>
                <xsd:element ref="ns2:MediaServiceDateTake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5cfd83b-967a-4dd6-b4c3-395873c2352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daf5a3b8-19fe-4aaf-8551-0b725c993cda"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DateTaken" ma:index="21" nillable="true" ma:displayName="MediaServiceDateTaken" ma:hidden="true" ma:indexed="true" ma:internalName="MediaServiceDateTake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8b87bea-166c-4b49-8da3-b6b44dc13847"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b2b484f-4c19-4c24-b89d-0399ef7e60bb"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40c359fd-0401-4fb7-b333-7fe9b6ff300f}" ma:internalName="TaxCatchAll" ma:showField="CatchAllData" ma:web="6b2b484f-4c19-4c24-b89d-0399ef7e60b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daf5a3b8-19fe-4aaf-8551-0b725c993cda" ContentTypeId="0x0101" PreviousValue="false"/>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CB6706F-DDF4-41B7-B137-65BA3C1C0B78}">
  <ds:schemaRefs>
    <ds:schemaRef ds:uri="6e60f72a-c8ae-4539-9a8b-cdf6aa651c8d"/>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cfc8a10d-5fb7-42dd-aaed-353cddc613a4"/>
    <ds:schemaRef ds:uri="http://www.w3.org/XML/1998/namespace"/>
    <ds:schemaRef ds:uri="http://purl.org/dc/dcmitype/"/>
    <ds:schemaRef ds:uri="e2ca8578-af05-43e6-81ae-8fea2e094a91"/>
    <ds:schemaRef ds:uri="9a6613c3-7007-49fe-b438-1b9b1d0a8b7e"/>
    <ds:schemaRef ds:uri="http://schemas.microsoft.com/sharepoint/v3"/>
  </ds:schemaRefs>
</ds:datastoreItem>
</file>

<file path=customXml/itemProps2.xml><?xml version="1.0" encoding="utf-8"?>
<ds:datastoreItem xmlns:ds="http://schemas.openxmlformats.org/officeDocument/2006/customXml" ds:itemID="{779735C6-58B8-42CC-9BE2-C7DF11CE3FFB}"/>
</file>

<file path=customXml/itemProps3.xml><?xml version="1.0" encoding="utf-8"?>
<ds:datastoreItem xmlns:ds="http://schemas.openxmlformats.org/officeDocument/2006/customXml" ds:itemID="{32E50F1C-15DA-45E9-ACE8-A9BF452DD6F1}">
  <ds:schemaRefs>
    <ds:schemaRef ds:uri="Microsoft.SharePoint.Taxonomy.ContentTypeSync"/>
  </ds:schemaRefs>
</ds:datastoreItem>
</file>

<file path=customXml/itemProps4.xml><?xml version="1.0" encoding="utf-8"?>
<ds:datastoreItem xmlns:ds="http://schemas.openxmlformats.org/officeDocument/2006/customXml" ds:itemID="{B8F538E9-556C-4740-9384-70820DA6A95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109</vt:i4>
      </vt:variant>
    </vt:vector>
  </HeadingPairs>
  <TitlesOfParts>
    <vt:vector size="122" baseType="lpstr">
      <vt:lpstr>Fillable Application &amp; Instruct</vt:lpstr>
      <vt:lpstr>Equipment qualifications</vt:lpstr>
      <vt:lpstr>Summary</vt:lpstr>
      <vt:lpstr>Int. LPD</vt:lpstr>
      <vt:lpstr>Ext. LPD</vt:lpstr>
      <vt:lpstr>HVAC</vt:lpstr>
      <vt:lpstr>Other</vt:lpstr>
      <vt:lpstr>Completion notice</vt:lpstr>
      <vt:lpstr>QC</vt:lpstr>
      <vt:lpstr>Printable application</vt:lpstr>
      <vt:lpstr>Lookups</vt:lpstr>
      <vt:lpstr>Savings Lookups</vt:lpstr>
      <vt:lpstr>Change Log</vt:lpstr>
      <vt:lpstr>ActiveStorage</vt:lpstr>
      <vt:lpstr>Atrium</vt:lpstr>
      <vt:lpstr>AudiencesSeatingArea</vt:lpstr>
      <vt:lpstr>AutomatedTellerMachinesandNightDepositories</vt:lpstr>
      <vt:lpstr>Automotive</vt:lpstr>
      <vt:lpstr>BankOffice</vt:lpstr>
      <vt:lpstr>BuildingEntrancesandExits</vt:lpstr>
      <vt:lpstr>BuildingFacades</vt:lpstr>
      <vt:lpstr>BuildingGrounds</vt:lpstr>
      <vt:lpstr>CanopiesandOverhangs</vt:lpstr>
      <vt:lpstr>ClassroomLectureTraining</vt:lpstr>
      <vt:lpstr>ConventionCenter</vt:lpstr>
      <vt:lpstr>CorridorTransition</vt:lpstr>
      <vt:lpstr>CourthousePoliceStationPenitentiary</vt:lpstr>
      <vt:lpstr>DiningArea</vt:lpstr>
      <vt:lpstr>Dormitory</vt:lpstr>
      <vt:lpstr>DressingLockerFittingRoom</vt:lpstr>
      <vt:lpstr>DriveupWindowsatFastFoodRestaurants</vt:lpstr>
      <vt:lpstr>ElectricalMechanical</vt:lpstr>
      <vt:lpstr>EntrancesandGatehouseInspectionStationsatGuardedFacilities</vt:lpstr>
      <vt:lpstr>FireStations</vt:lpstr>
      <vt:lpstr>FoodPreparation</vt:lpstr>
      <vt:lpstr>GymnasiumExerciseCenter</vt:lpstr>
      <vt:lpstr>High_Temp</vt:lpstr>
      <vt:lpstr>Hospital</vt:lpstr>
      <vt:lpstr>HotelMotelGuestRooms</vt:lpstr>
      <vt:lpstr>InactiveStorage</vt:lpstr>
      <vt:lpstr>Input_BldgType</vt:lpstr>
      <vt:lpstr>Input_CurrentPhase</vt:lpstr>
      <vt:lpstr>Input_HVACBldgType</vt:lpstr>
      <vt:lpstr>Input_HVACType</vt:lpstr>
      <vt:lpstr>Input_ProgramType</vt:lpstr>
      <vt:lpstr>Input_ProjectNumber</vt:lpstr>
      <vt:lpstr>Laboratory</vt:lpstr>
      <vt:lpstr>Library</vt:lpstr>
      <vt:lpstr>List_BuildingAreaMethod</vt:lpstr>
      <vt:lpstr>List_BuildingTypes</vt:lpstr>
      <vt:lpstr>List_ConvectionOven</vt:lpstr>
      <vt:lpstr>List_CurrentPhase</vt:lpstr>
      <vt:lpstr>List_CurtainType</vt:lpstr>
      <vt:lpstr>List_ExtLtgType</vt:lpstr>
      <vt:lpstr>List_HVACBldgTypes</vt:lpstr>
      <vt:lpstr>List_IntLPDMethods</vt:lpstr>
      <vt:lpstr>List_LightingControls</vt:lpstr>
      <vt:lpstr>List_Lobby</vt:lpstr>
      <vt:lpstr>List_LowFlowBldgTypes</vt:lpstr>
      <vt:lpstr>List_LtgIEF</vt:lpstr>
      <vt:lpstr>List_ProgramType</vt:lpstr>
      <vt:lpstr>List_PRSV</vt:lpstr>
      <vt:lpstr>List_RefrCaseType</vt:lpstr>
      <vt:lpstr>List_Refrigeration</vt:lpstr>
      <vt:lpstr>List_RefrSizes</vt:lpstr>
      <vt:lpstr>List_Showerhead</vt:lpstr>
      <vt:lpstr>List_SpacebySpaceMethod</vt:lpstr>
      <vt:lpstr>List_StripCurtainBaseline</vt:lpstr>
      <vt:lpstr>List_StripCurtainsBuildings</vt:lpstr>
      <vt:lpstr>LoadingAreasforEmergencyServiceVehicles</vt:lpstr>
      <vt:lpstr>Lobby</vt:lpstr>
      <vt:lpstr>LoungeRecreation</vt:lpstr>
      <vt:lpstr>Low_Temp</vt:lpstr>
      <vt:lpstr>Manufacturing</vt:lpstr>
      <vt:lpstr>Office</vt:lpstr>
      <vt:lpstr>OutdoorSales</vt:lpstr>
      <vt:lpstr>ParkingGarage</vt:lpstr>
      <vt:lpstr>ParkingNear24hourRetailEntrances</vt:lpstr>
      <vt:lpstr>PostOffice</vt:lpstr>
      <vt:lpstr>'Completion notice'!Print_Area</vt:lpstr>
      <vt:lpstr>'Fillable Application &amp; Instruct'!Print_Area</vt:lpstr>
      <vt:lpstr>ReligiousBuilding</vt:lpstr>
      <vt:lpstr>Restrooms</vt:lpstr>
      <vt:lpstr>Retail</vt:lpstr>
      <vt:lpstr>SalesAreaAccentLighting</vt:lpstr>
      <vt:lpstr>SportsArena</vt:lpstr>
      <vt:lpstr>Stairs</vt:lpstr>
      <vt:lpstr>Table_Aerators</vt:lpstr>
      <vt:lpstr>Table_ASHC</vt:lpstr>
      <vt:lpstr>Table_ChillerFactors</vt:lpstr>
      <vt:lpstr>Table_Chillers</vt:lpstr>
      <vt:lpstr>Table_CombinationOven</vt:lpstr>
      <vt:lpstr>Table_ConvectionOven</vt:lpstr>
      <vt:lpstr>Table_Dishwashers</vt:lpstr>
      <vt:lpstr>Table_ECMHVACFan</vt:lpstr>
      <vt:lpstr>Table_ECMRefrFan</vt:lpstr>
      <vt:lpstr>Table_EFLH</vt:lpstr>
      <vt:lpstr>Table_ESRefrigerators</vt:lpstr>
      <vt:lpstr>Table_EvapFanControls</vt:lpstr>
      <vt:lpstr>Table_GREM</vt:lpstr>
      <vt:lpstr>Table_IceMaker</vt:lpstr>
      <vt:lpstr>Table_kWhCost</vt:lpstr>
      <vt:lpstr>Table_LtgControlFactors</vt:lpstr>
      <vt:lpstr>Table_LtgFactors</vt:lpstr>
      <vt:lpstr>Table_LtgIEF</vt:lpstr>
      <vt:lpstr>Table_MeasureNumbers</vt:lpstr>
      <vt:lpstr>Table_Measures</vt:lpstr>
      <vt:lpstr>Table_PRSV</vt:lpstr>
      <vt:lpstr>Table_RTUAC</vt:lpstr>
      <vt:lpstr>Table_RTUFactors</vt:lpstr>
      <vt:lpstr>Table_RTUHP</vt:lpstr>
      <vt:lpstr>Table_Showerhead</vt:lpstr>
      <vt:lpstr>Table_SpacebySpaceMethod</vt:lpstr>
      <vt:lpstr>Table_SteamCooker</vt:lpstr>
      <vt:lpstr>Table_WholeBuildingMethod</vt:lpstr>
      <vt:lpstr>Transportation</vt:lpstr>
      <vt:lpstr>UncoveredParkingAreas</vt:lpstr>
      <vt:lpstr>Value_ExtLtgAOH</vt:lpstr>
      <vt:lpstr>Value_ExtLtgCF</vt:lpstr>
      <vt:lpstr>Value_Max_Incentive</vt:lpstr>
      <vt:lpstr>Warehouse</vt:lpstr>
      <vt:lpstr>Workshop</vt:lpstr>
    </vt:vector>
  </TitlesOfParts>
  <Manager/>
  <Company>Chicago Bridge &amp; Iron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Kurtz, Spencer</dc:creator>
  <cp:keywords/>
  <dc:description/>
  <cp:lastModifiedBy>Kurtz, Spencer</cp:lastModifiedBy>
  <cp:revision/>
  <cp:lastPrinted>2022-12-13T17:30:47Z</cp:lastPrinted>
  <dcterms:created xsi:type="dcterms:W3CDTF">2017-02-21T18:38:33Z</dcterms:created>
  <dcterms:modified xsi:type="dcterms:W3CDTF">2025-01-08T20:29:34Z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0x01010031BE389EA3527F41A12B5160341A5618</vt:lpwstr>
  </property>
  <property fmtid="{D5CDD505-2E9C-101B-9397-08002B2CF9AE}" pid="3" name="MediaServiceImageTags">
    <vt:lpwstr/>
  </property>
</Properties>
</file>