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7.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ptimcorp-my.sharepoint.com/personal/spencer_kurtz_aptim_com/Documents/Desktop/ELL Program Files/Program Template Docs &amp; Calculators/2025 Template Calculators/"/>
    </mc:Choice>
  </mc:AlternateContent>
  <xr:revisionPtr revIDLastSave="75" documentId="8_{9072F2C9-0CE5-4E86-A78D-1D699A6B7E01}" xr6:coauthVersionLast="47" xr6:coauthVersionMax="47" xr10:uidLastSave="{760436A4-8D13-4F2C-A012-8786DE953C18}"/>
  <workbookProtection workbookAlgorithmName="SHA-512" workbookHashValue="v9nA/7CbHw2Ma2OIA6+NBSSVA0XgqpK5JqqX94i/cV7qlVVCq1oEdE1D2NEx3O7xxY718I/yV1Ykz7j8HP85yQ==" workbookSaltValue="cs/MmGsex74k8HTHgXgIxQ==" workbookSpinCount="100000" lockStructure="1"/>
  <bookViews>
    <workbookView xWindow="28680" yWindow="-120" windowWidth="29040" windowHeight="15840" tabRatio="782" xr2:uid="{00000000-000D-0000-FFFF-FFFF00000000}"/>
  </bookViews>
  <sheets>
    <sheet name="Fillable application &amp; instruct" sheetId="31" r:id="rId1"/>
    <sheet name="Equipment qualifications" sheetId="4" r:id="rId2"/>
    <sheet name="Summary" sheetId="27" r:id="rId3"/>
    <sheet name="HVAC" sheetId="1" r:id="rId4"/>
    <sheet name="Refrigeration" sheetId="20" r:id="rId5"/>
    <sheet name="Food service" sheetId="21" r:id="rId6"/>
    <sheet name="Misc." sheetId="22" r:id="rId7"/>
    <sheet name="Custom" sheetId="28" r:id="rId8"/>
    <sheet name="Completion notice" sheetId="29" r:id="rId9"/>
    <sheet name="QC" sheetId="25" state="hidden" r:id="rId10"/>
    <sheet name="Printable application" sheetId="32" state="hidden" r:id="rId11"/>
    <sheet name="Lookups" sheetId="23" state="hidden" r:id="rId12"/>
    <sheet name="Savings Lookups" sheetId="24" state="hidden" r:id="rId13"/>
    <sheet name="APTracks Export Data" sheetId="26" state="hidden" r:id="rId14"/>
    <sheet name="Change Log" sheetId="30" state="hidden" r:id="rId15"/>
  </sheets>
  <definedNames>
    <definedName name="_xlnm._FilterDatabase" localSheetId="13" hidden="1">'APTracks Export Data'!$A$2:$Q$55</definedName>
    <definedName name="Flag_Incentive">QC!$D$23</definedName>
    <definedName name="HighTemp">Lookups!$V$3:$V$4</definedName>
    <definedName name="Input_AvgkWhRate">'Fillable application &amp; instruct'!$F$20</definedName>
    <definedName name="Input_BldgType">'Fillable application &amp; instruct'!$F$21</definedName>
    <definedName name="Input_Bonus">QC!$F$19</definedName>
    <definedName name="Input_BonusMeasureNumber">QC!$G$19</definedName>
    <definedName name="Input_HVACType">'Fillable application &amp; instruct'!$F$22</definedName>
    <definedName name="Input_ProgramType">'Fillable application &amp; instruct'!$F$23</definedName>
    <definedName name="Input_ProjectNumber">QC!$B$1</definedName>
    <definedName name="Input_Usage">QC!$B$2</definedName>
    <definedName name="List_ACUnitMeasures">Lookups!$J$48:$J$52</definedName>
    <definedName name="List_BldgTypes">Lookups!$J$14:$J$25</definedName>
    <definedName name="List_ConvectionOven">Lookups!$V$7:$V$8</definedName>
    <definedName name="List_CurtainType">Lookups!$T$31:$T$37</definedName>
    <definedName name="List_CustomClass">Lookups!$AA$7:$AA$16</definedName>
    <definedName name="List_CustomTypes">Lookups!$AA$3:$AA$4</definedName>
    <definedName name="List_HPUnitMeasures">Lookups!$J$55:$J$59</definedName>
    <definedName name="List_HVACTypes">Lookups!$B$58:$B$64</definedName>
    <definedName name="List_LowFlowBldgTypes">Lookups!$Y$3:$Y$10</definedName>
    <definedName name="List_PC">'Savings Lookups'!$AE$11:$AE$13</definedName>
    <definedName name="List_ProgramNames">Lookups!$B$3:$B$4</definedName>
    <definedName name="List_ProjectStage">Lookups!$B$54:$B$55</definedName>
    <definedName name="List_PRSV">Lookups!$Y$13:$Y$18</definedName>
    <definedName name="List_RefrCaseType">Lookups!$T$7:$T$12</definedName>
    <definedName name="List_Refrigeration">Lookups!$T$3:$T$4</definedName>
    <definedName name="List_RefrSizes">Lookups!$T$21:$T$24</definedName>
    <definedName name="List_Showerhead">Lookups!$Y$21:$Y$26</definedName>
    <definedName name="List_StripCurtainBaseline">Lookups!$T$40:$T$42</definedName>
    <definedName name="List_StripCurtainsBuildings">Lookups!$T$15:$T$18</definedName>
    <definedName name="LowTemp">Lookups!$W$3:$W$3</definedName>
    <definedName name="_xlnm.Print_Area" localSheetId="8">'Completion notice'!$A$1:$E$52</definedName>
    <definedName name="_xlnm.Print_Area" localSheetId="0">'Fillable application &amp; instruct'!$A$7:$G$46</definedName>
    <definedName name="_xlnm.Print_Area" localSheetId="10">'Printable application'!$A$1:$K$71</definedName>
    <definedName name="Subtotal_Bonus">Summary!#REF!</definedName>
    <definedName name="Subtotal_CustomIncentive">QC!$C$19</definedName>
    <definedName name="Subtotal_Incentive">QC!$D$19</definedName>
    <definedName name="Subtotal_PrescriptiveIncentive">QC!$B$19</definedName>
    <definedName name="Table_ACHPFactors">Lookups!$J$3:$R$11</definedName>
    <definedName name="Table_ACTU">'Savings Lookups'!$B$23:$F$25</definedName>
    <definedName name="Table_ACTUFactors">Lookups!$J$27:$P$30</definedName>
    <definedName name="Table_Aerators">'Savings Lookups'!$U$2:$W$10</definedName>
    <definedName name="Table_APS">'Savings Lookups'!$AE$6:$AH$8</definedName>
    <definedName name="Table_ASHC">'Savings Lookups'!$H$11:$J$14</definedName>
    <definedName name="Table_ChillerFactors">Lookups!$J$33:$P$43</definedName>
    <definedName name="Table_Chillers">'Savings Lookups'!$B$30:$D$39</definedName>
    <definedName name="Table_CombinationOven">'Savings Lookups'!$N$33:$P$35</definedName>
    <definedName name="Table_ConvectionOven">'Savings Lookups'!$N$28:$P$30</definedName>
    <definedName name="Table_CustomMeasureNames">Lookups!$AC$2:$AD$111</definedName>
    <definedName name="Table_Dishwashers">'Savings Lookups'!$N$2:$S$25</definedName>
    <definedName name="Table_DuctSealing">'Savings Lookups'!$B$47:$D$48</definedName>
    <definedName name="Table_ECMHVACFan">'Savings Lookups'!$B$42:$D$42</definedName>
    <definedName name="Table_ECMRefrFan">'Savings Lookups'!$H$2:$J$4</definedName>
    <definedName name="Table_EFLH">Lookups!$J$13:$M$25</definedName>
    <definedName name="Table_ESRefrigerators">'Savings Lookups'!$H$27:$L$35</definedName>
    <definedName name="Table_EvapFanControls">'Savings Lookups'!$H$6:$J$9</definedName>
    <definedName name="Table_GREM">'Savings Lookups'!$B$44:$D$45</definedName>
    <definedName name="Table_IceMaker">'Savings Lookups'!$N$44:$P$50</definedName>
    <definedName name="Table_MeasureNumbers">Lookups!$F$6:$H$51</definedName>
    <definedName name="Table_Measures">Lookups!$B$6:$G$51</definedName>
    <definedName name="Table_NightCovers">'Savings Lookups'!$H$16:$J$25</definedName>
    <definedName name="Table_PCPowerMgmt">'Savings Lookups'!$AE$10:$AG$13</definedName>
    <definedName name="Table_PRSV">'Savings Lookups'!$U$43:$W$49</definedName>
    <definedName name="Table_RTUAC">'Savings Lookups'!$B$2:$D$6</definedName>
    <definedName name="Table_RTUFactors">Lookups!$J$3:$M$11</definedName>
    <definedName name="Table_RTUHP">'Savings Lookups'!$B$13:$F$17</definedName>
    <definedName name="Table_Showerhead">'Savings Lookups'!$U$78:$W$84</definedName>
    <definedName name="Table_SteamCooker">'Savings Lookups'!$N$37:$P$41</definedName>
    <definedName name="Table_StripCurtains">'Savings Lookups'!$H$37:$L$58</definedName>
    <definedName name="Table_VendingMiser">'Savings Lookups'!$AE$2:$AG$4</definedName>
    <definedName name="Total_ProjectCost">Summary!$C$12</definedName>
    <definedName name="Value_CalcVersion">'Fillable application &amp; instruct'!$J$17</definedName>
    <definedName name="Value_ExitSign_BaselineW">25.1</definedName>
    <definedName name="Value_ExitSign_LEDW">3</definedName>
    <definedName name="Value_LtgControls_CF">0.26</definedName>
    <definedName name="Value_Max_Incentive">QC!$G$21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7" i="31" l="1"/>
  <c r="B32" i="24" l="1"/>
  <c r="B33" i="24"/>
  <c r="B34" i="24"/>
  <c r="B35" i="24"/>
  <c r="B36" i="24"/>
  <c r="B37" i="24"/>
  <c r="B38" i="24"/>
  <c r="B39" i="24"/>
  <c r="B31" i="24"/>
  <c r="B3" i="1"/>
  <c r="C31" i="24" l="1"/>
  <c r="M9" i="23"/>
  <c r="M10" i="23"/>
  <c r="L21" i="1" l="1"/>
  <c r="M21" i="1" s="1"/>
  <c r="C5" i="29" l="1"/>
  <c r="I49" i="1"/>
  <c r="I50" i="1"/>
  <c r="I48" i="1"/>
  <c r="F21" i="25"/>
  <c r="G21" i="25" s="1"/>
  <c r="C4" i="26" l="1"/>
  <c r="F4" i="26" s="1"/>
  <c r="E3" i="26"/>
  <c r="Q3" i="26" s="1"/>
  <c r="D3" i="26"/>
  <c r="F24" i="24"/>
  <c r="C24" i="24"/>
  <c r="N3" i="20"/>
  <c r="N35" i="1"/>
  <c r="N34" i="1"/>
  <c r="D25" i="24"/>
  <c r="F25" i="24"/>
  <c r="C25" i="24"/>
  <c r="B16" i="1"/>
  <c r="I12" i="32"/>
  <c r="I14" i="32"/>
  <c r="P3" i="26"/>
  <c r="E36" i="32"/>
  <c r="F40" i="32"/>
  <c r="F20" i="32"/>
  <c r="B36" i="32"/>
  <c r="A30" i="32"/>
  <c r="A28" i="32"/>
  <c r="B14" i="32"/>
  <c r="A12" i="32"/>
  <c r="C3" i="26" l="1"/>
  <c r="F3" i="26"/>
  <c r="E25" i="24"/>
  <c r="I21" i="1"/>
  <c r="C6" i="29"/>
  <c r="C9" i="29"/>
  <c r="C8" i="29"/>
  <c r="I40" i="32"/>
  <c r="I38" i="32"/>
  <c r="I36" i="32"/>
  <c r="I34" i="32"/>
  <c r="I32" i="32"/>
  <c r="A21" i="32"/>
  <c r="E25" i="32"/>
  <c r="E10" i="32"/>
  <c r="I21" i="32"/>
  <c r="I19" i="32"/>
  <c r="E34" i="32" l="1"/>
  <c r="E32" i="32"/>
  <c r="Q24" i="1"/>
  <c r="L45" i="1"/>
  <c r="L46" i="1"/>
  <c r="L35" i="1"/>
  <c r="L36" i="1"/>
  <c r="L37" i="1"/>
  <c r="L38" i="1"/>
  <c r="L39" i="1"/>
  <c r="L40" i="1"/>
  <c r="L41" i="1"/>
  <c r="L42" i="1"/>
  <c r="L43" i="1"/>
  <c r="K35" i="1"/>
  <c r="K36" i="1"/>
  <c r="K37" i="1"/>
  <c r="K38" i="1"/>
  <c r="K39" i="1"/>
  <c r="K40" i="1"/>
  <c r="K41" i="1"/>
  <c r="K42" i="1"/>
  <c r="K43" i="1"/>
  <c r="K44" i="1"/>
  <c r="K45" i="1"/>
  <c r="K46" i="1"/>
  <c r="B46" i="1"/>
  <c r="B45" i="1"/>
  <c r="B44" i="1"/>
  <c r="B43" i="1"/>
  <c r="B42" i="1"/>
  <c r="B41" i="1"/>
  <c r="B40" i="1"/>
  <c r="B39" i="1"/>
  <c r="B38" i="1"/>
  <c r="B37" i="1"/>
  <c r="B36" i="1"/>
  <c r="B35" i="1"/>
  <c r="B34" i="1"/>
  <c r="B15" i="1"/>
  <c r="B21" i="1"/>
  <c r="K22" i="1"/>
  <c r="I22" i="1"/>
  <c r="A40" i="32"/>
  <c r="A38" i="32"/>
  <c r="G14" i="32"/>
  <c r="E20" i="32"/>
  <c r="I23" i="32"/>
  <c r="I16" i="32"/>
  <c r="I10" i="32"/>
  <c r="I8" i="32"/>
  <c r="E40" i="32"/>
  <c r="E38" i="32"/>
  <c r="E30" i="32"/>
  <c r="E27" i="32"/>
  <c r="E23" i="32"/>
  <c r="E18" i="32"/>
  <c r="E16" i="32"/>
  <c r="E14" i="32"/>
  <c r="E12" i="32"/>
  <c r="E8" i="32"/>
  <c r="A36" i="32"/>
  <c r="A34" i="32"/>
  <c r="A32" i="32"/>
  <c r="A26" i="32"/>
  <c r="A23" i="32"/>
  <c r="A19" i="32"/>
  <c r="A14" i="32"/>
  <c r="A10" i="32"/>
  <c r="A8" i="32"/>
  <c r="P45" i="1" l="1"/>
  <c r="P46" i="1"/>
  <c r="N45" i="1"/>
  <c r="O45" i="1" s="1"/>
  <c r="N46" i="1"/>
  <c r="O46" i="1" s="1"/>
  <c r="M45" i="1"/>
  <c r="Q45" i="1" s="1"/>
  <c r="M46" i="1"/>
  <c r="Q46" i="1" s="1"/>
  <c r="P35" i="1"/>
  <c r="P36" i="1"/>
  <c r="P37" i="1"/>
  <c r="P38" i="1"/>
  <c r="P39" i="1"/>
  <c r="P40" i="1"/>
  <c r="P41" i="1"/>
  <c r="P42" i="1"/>
  <c r="P43" i="1"/>
  <c r="O35" i="1"/>
  <c r="N36" i="1"/>
  <c r="O36" i="1" s="1"/>
  <c r="N37" i="1"/>
  <c r="O37" i="1" s="1"/>
  <c r="N38" i="1"/>
  <c r="O38" i="1" s="1"/>
  <c r="N39" i="1"/>
  <c r="O39" i="1" s="1"/>
  <c r="N40" i="1"/>
  <c r="O40" i="1" s="1"/>
  <c r="N41" i="1"/>
  <c r="O41" i="1" s="1"/>
  <c r="N42" i="1"/>
  <c r="O42" i="1" s="1"/>
  <c r="N43" i="1"/>
  <c r="O43" i="1" s="1"/>
  <c r="M35" i="1"/>
  <c r="Q35" i="1" s="1"/>
  <c r="M36" i="1"/>
  <c r="Q36" i="1" s="1"/>
  <c r="M37" i="1"/>
  <c r="Q37" i="1" s="1"/>
  <c r="M38" i="1"/>
  <c r="Q38" i="1" s="1"/>
  <c r="M39" i="1"/>
  <c r="Q39" i="1" s="1"/>
  <c r="M40" i="1"/>
  <c r="Q40" i="1" s="1"/>
  <c r="M41" i="1"/>
  <c r="Q41" i="1" s="1"/>
  <c r="M42" i="1"/>
  <c r="Q42" i="1" s="1"/>
  <c r="M43" i="1"/>
  <c r="Q43" i="1" s="1"/>
  <c r="B49" i="1"/>
  <c r="B50" i="1"/>
  <c r="P49" i="1"/>
  <c r="P50" i="1"/>
  <c r="N49" i="1"/>
  <c r="O49" i="1" s="1"/>
  <c r="N50" i="1"/>
  <c r="O50" i="1" s="1"/>
  <c r="L49" i="1"/>
  <c r="M49" i="1" s="1"/>
  <c r="Q49" i="1" s="1"/>
  <c r="L50" i="1"/>
  <c r="K49" i="1"/>
  <c r="K50" i="1"/>
  <c r="C22" i="29"/>
  <c r="C21" i="29"/>
  <c r="C20" i="29"/>
  <c r="M50" i="1" l="1"/>
  <c r="Q50" i="1" s="1"/>
  <c r="R50" i="1" s="1"/>
  <c r="R38" i="1"/>
  <c r="R41" i="1"/>
  <c r="R37" i="1"/>
  <c r="R42" i="1"/>
  <c r="R46" i="1"/>
  <c r="R45" i="1"/>
  <c r="R40" i="1"/>
  <c r="R39" i="1"/>
  <c r="R36" i="1"/>
  <c r="R43" i="1"/>
  <c r="R35" i="1"/>
  <c r="R49" i="1"/>
  <c r="B22" i="1"/>
  <c r="E22" i="26" s="1"/>
  <c r="L22" i="1"/>
  <c r="M22" i="1" s="1"/>
  <c r="Q22" i="1" s="1"/>
  <c r="N44" i="1"/>
  <c r="N48" i="1"/>
  <c r="C16" i="24"/>
  <c r="C17" i="24"/>
  <c r="C18" i="24"/>
  <c r="E18" i="24" s="1"/>
  <c r="N16" i="1" s="1"/>
  <c r="D18" i="24"/>
  <c r="F18" i="24"/>
  <c r="P16" i="1" s="1"/>
  <c r="C19" i="24"/>
  <c r="E19" i="24" s="1"/>
  <c r="N17" i="1" s="1"/>
  <c r="D19" i="24"/>
  <c r="F19" i="24"/>
  <c r="P17" i="1" s="1"/>
  <c r="C20" i="24"/>
  <c r="E20" i="24" s="1"/>
  <c r="N18" i="1" s="1"/>
  <c r="D20" i="24"/>
  <c r="F20" i="24"/>
  <c r="P18" i="1" s="1"/>
  <c r="C21" i="24"/>
  <c r="E21" i="24" s="1"/>
  <c r="N19" i="1" s="1"/>
  <c r="D21" i="24"/>
  <c r="F21" i="24"/>
  <c r="P19" i="1" s="1"/>
  <c r="B15" i="24"/>
  <c r="B16" i="24"/>
  <c r="B17" i="24"/>
  <c r="B18" i="24"/>
  <c r="B19" i="24"/>
  <c r="B20" i="24"/>
  <c r="B21" i="24"/>
  <c r="B14" i="24"/>
  <c r="C4" i="24"/>
  <c r="N4" i="1" s="1"/>
  <c r="D4" i="24"/>
  <c r="P4" i="1" s="1"/>
  <c r="C5" i="24"/>
  <c r="N5" i="1" s="1"/>
  <c r="D5" i="24"/>
  <c r="P5" i="1" s="1"/>
  <c r="C6" i="24"/>
  <c r="N6" i="1" s="1"/>
  <c r="D6" i="24"/>
  <c r="P6" i="1" s="1"/>
  <c r="C7" i="24"/>
  <c r="N7" i="1" s="1"/>
  <c r="D7" i="24"/>
  <c r="P7" i="1" s="1"/>
  <c r="C8" i="24"/>
  <c r="N8" i="1" s="1"/>
  <c r="D8" i="24"/>
  <c r="P8" i="1" s="1"/>
  <c r="C9" i="24"/>
  <c r="N9" i="1" s="1"/>
  <c r="D9" i="24"/>
  <c r="P9" i="1" s="1"/>
  <c r="C10" i="24"/>
  <c r="N10" i="1" s="1"/>
  <c r="D10" i="24"/>
  <c r="P10" i="1" s="1"/>
  <c r="D3" i="24"/>
  <c r="P3" i="1" s="1"/>
  <c r="C3" i="24"/>
  <c r="N3" i="1" s="1"/>
  <c r="B4" i="24"/>
  <c r="B5" i="24"/>
  <c r="B6" i="24"/>
  <c r="B7" i="24"/>
  <c r="B8" i="24"/>
  <c r="B9" i="24"/>
  <c r="B10" i="24"/>
  <c r="B3" i="24"/>
  <c r="G22" i="26" l="1"/>
  <c r="K22" i="26"/>
  <c r="Q4" i="26"/>
  <c r="D52" i="26" l="1"/>
  <c r="D53" i="26"/>
  <c r="D22" i="26"/>
  <c r="D14" i="26"/>
  <c r="D15" i="26"/>
  <c r="D16" i="26"/>
  <c r="D17" i="26"/>
  <c r="D18" i="26"/>
  <c r="D19" i="26"/>
  <c r="D20" i="26"/>
  <c r="D31" i="26"/>
  <c r="D28" i="26"/>
  <c r="D29" i="26"/>
  <c r="D30" i="26"/>
  <c r="B14" i="1"/>
  <c r="E15" i="26" s="1"/>
  <c r="K14" i="1"/>
  <c r="L14" i="1"/>
  <c r="E16" i="26"/>
  <c r="K15" i="1"/>
  <c r="L15" i="1"/>
  <c r="M15" i="1" s="1"/>
  <c r="Q15" i="1" s="1"/>
  <c r="B6" i="1"/>
  <c r="E8" i="26" s="1"/>
  <c r="F8" i="26" s="1"/>
  <c r="B7" i="1"/>
  <c r="E9" i="26" s="1"/>
  <c r="Q9" i="26" s="1"/>
  <c r="B8" i="1"/>
  <c r="E10" i="26" s="1"/>
  <c r="B9" i="1"/>
  <c r="E11" i="26" s="1"/>
  <c r="B10" i="1"/>
  <c r="E12" i="26" s="1"/>
  <c r="K6" i="1"/>
  <c r="L6" i="1"/>
  <c r="M6" i="1" s="1"/>
  <c r="Q6" i="1" s="1"/>
  <c r="K7" i="1"/>
  <c r="L7" i="1"/>
  <c r="M7" i="1" s="1"/>
  <c r="Q7" i="1" s="1"/>
  <c r="K18" i="1"/>
  <c r="L18" i="1"/>
  <c r="M18" i="1"/>
  <c r="O18" i="1"/>
  <c r="Q18" i="1"/>
  <c r="K19" i="1"/>
  <c r="L19" i="1"/>
  <c r="M19" i="1"/>
  <c r="O19" i="1"/>
  <c r="Q19" i="1"/>
  <c r="K8" i="1"/>
  <c r="L8" i="1"/>
  <c r="M8" i="1" s="1"/>
  <c r="Q8" i="1" s="1"/>
  <c r="K9" i="1"/>
  <c r="L9" i="1"/>
  <c r="M9" i="1"/>
  <c r="O9" i="1"/>
  <c r="Q9" i="1"/>
  <c r="K10" i="1"/>
  <c r="L10" i="1"/>
  <c r="M10" i="1"/>
  <c r="O10" i="1"/>
  <c r="Q10" i="1"/>
  <c r="B18" i="1"/>
  <c r="E19" i="26" s="1"/>
  <c r="B19" i="1"/>
  <c r="E20" i="26" s="1"/>
  <c r="P48" i="1"/>
  <c r="D6" i="26"/>
  <c r="D7" i="26"/>
  <c r="D8" i="26"/>
  <c r="D9" i="26"/>
  <c r="D10" i="26"/>
  <c r="D11" i="26"/>
  <c r="D12" i="26"/>
  <c r="D13" i="26"/>
  <c r="D21" i="26"/>
  <c r="D23" i="26"/>
  <c r="D24" i="26"/>
  <c r="D25" i="26"/>
  <c r="D26" i="26"/>
  <c r="D27" i="26"/>
  <c r="D32" i="26"/>
  <c r="D33" i="26"/>
  <c r="D34" i="26"/>
  <c r="D35" i="26"/>
  <c r="D36" i="26"/>
  <c r="D37" i="26"/>
  <c r="D38" i="26"/>
  <c r="D39" i="26"/>
  <c r="D40" i="26"/>
  <c r="D41" i="26"/>
  <c r="D42" i="26"/>
  <c r="D43" i="26"/>
  <c r="D44" i="26"/>
  <c r="D45" i="26"/>
  <c r="D46" i="26"/>
  <c r="D47" i="26"/>
  <c r="D48" i="26"/>
  <c r="D49" i="26"/>
  <c r="D50" i="26"/>
  <c r="D51" i="26"/>
  <c r="D54" i="26"/>
  <c r="D55" i="26"/>
  <c r="D4" i="26"/>
  <c r="D5" i="26"/>
  <c r="B48" i="1"/>
  <c r="E33" i="26"/>
  <c r="E32" i="26"/>
  <c r="B32" i="1"/>
  <c r="E31" i="26" s="1"/>
  <c r="B31" i="1"/>
  <c r="E30" i="26" s="1"/>
  <c r="B30" i="1"/>
  <c r="E29" i="26" s="1"/>
  <c r="B29" i="1"/>
  <c r="E28" i="26" s="1"/>
  <c r="B28" i="1"/>
  <c r="E27" i="26" s="1"/>
  <c r="B27" i="1"/>
  <c r="E26" i="26" s="1"/>
  <c r="B26" i="1"/>
  <c r="E25" i="26" s="1"/>
  <c r="B25" i="1"/>
  <c r="E24" i="26" s="1"/>
  <c r="B24" i="1"/>
  <c r="E23" i="26" s="1"/>
  <c r="E21" i="26"/>
  <c r="B17" i="1"/>
  <c r="E18" i="26" s="1"/>
  <c r="E17" i="26"/>
  <c r="B13" i="1"/>
  <c r="E14" i="26" s="1"/>
  <c r="B12" i="1"/>
  <c r="E13" i="26" s="1"/>
  <c r="B5" i="1"/>
  <c r="E7" i="26" s="1"/>
  <c r="F7" i="26" s="1"/>
  <c r="B4" i="1"/>
  <c r="E6" i="26" s="1"/>
  <c r="F6" i="26" s="1"/>
  <c r="E5" i="26"/>
  <c r="Q5" i="26" s="1"/>
  <c r="B13" i="21"/>
  <c r="E50" i="26" s="1"/>
  <c r="B12" i="21"/>
  <c r="E49" i="26" s="1"/>
  <c r="B11" i="21"/>
  <c r="E48" i="26" s="1"/>
  <c r="B10" i="21"/>
  <c r="E47" i="26" s="1"/>
  <c r="B9" i="21"/>
  <c r="E46" i="26" s="1"/>
  <c r="B7" i="21"/>
  <c r="E45" i="26" s="1"/>
  <c r="B6" i="21"/>
  <c r="E44" i="26" s="1"/>
  <c r="B5" i="21"/>
  <c r="E43" i="26" s="1"/>
  <c r="B4" i="21"/>
  <c r="E42" i="26" s="1"/>
  <c r="B3" i="21"/>
  <c r="E41" i="26" s="1"/>
  <c r="B8" i="22"/>
  <c r="E55" i="26" s="1"/>
  <c r="B7" i="22"/>
  <c r="E54" i="26" s="1"/>
  <c r="B5" i="22"/>
  <c r="E53" i="26" s="1"/>
  <c r="J53" i="26" s="1"/>
  <c r="B4" i="22"/>
  <c r="E52" i="26" s="1"/>
  <c r="B3" i="22"/>
  <c r="E51" i="26" s="1"/>
  <c r="B8" i="20"/>
  <c r="E40" i="26" s="1"/>
  <c r="J40" i="26" s="1"/>
  <c r="B7" i="20"/>
  <c r="E39" i="26" s="1"/>
  <c r="B6" i="20"/>
  <c r="E38" i="26" s="1"/>
  <c r="B5" i="20"/>
  <c r="E37" i="26" s="1"/>
  <c r="B4" i="20"/>
  <c r="E36" i="26" s="1"/>
  <c r="B3" i="20"/>
  <c r="E35" i="26" s="1"/>
  <c r="N13" i="21"/>
  <c r="L13" i="21"/>
  <c r="G5" i="28"/>
  <c r="C11" i="27" s="1"/>
  <c r="G3" i="28"/>
  <c r="G6" i="28" s="1"/>
  <c r="G2" i="28"/>
  <c r="G11" i="27" s="1"/>
  <c r="E11" i="27" l="1"/>
  <c r="D17" i="29" s="1"/>
  <c r="M14" i="1"/>
  <c r="Q14" i="1" s="1"/>
  <c r="Q11" i="26"/>
  <c r="J11" i="26"/>
  <c r="G39" i="26"/>
  <c r="J39" i="26"/>
  <c r="F48" i="26"/>
  <c r="Q13" i="26"/>
  <c r="F25" i="26"/>
  <c r="F33" i="26"/>
  <c r="F10" i="26"/>
  <c r="F38" i="26"/>
  <c r="J38" i="26"/>
  <c r="P41" i="26"/>
  <c r="F49" i="26"/>
  <c r="C14" i="26"/>
  <c r="F26" i="26"/>
  <c r="I20" i="26"/>
  <c r="J20" i="26"/>
  <c r="F24" i="26"/>
  <c r="I17" i="26"/>
  <c r="J17" i="26"/>
  <c r="P19" i="26"/>
  <c r="J19" i="26"/>
  <c r="Q32" i="26"/>
  <c r="F50" i="26"/>
  <c r="F43" i="26"/>
  <c r="G18" i="26"/>
  <c r="J18" i="26"/>
  <c r="G28" i="26"/>
  <c r="F47" i="26"/>
  <c r="P51" i="26"/>
  <c r="J51" i="26"/>
  <c r="F36" i="26"/>
  <c r="J36" i="26"/>
  <c r="C22" i="26"/>
  <c r="H55" i="26"/>
  <c r="J55" i="26"/>
  <c r="F42" i="26"/>
  <c r="G52" i="26"/>
  <c r="J52" i="26"/>
  <c r="F44" i="26"/>
  <c r="F37" i="26"/>
  <c r="J37" i="26"/>
  <c r="F54" i="26"/>
  <c r="J54" i="26"/>
  <c r="Q46" i="26"/>
  <c r="K23" i="26"/>
  <c r="F31" i="26"/>
  <c r="P12" i="26"/>
  <c r="J12" i="26"/>
  <c r="C17" i="29"/>
  <c r="C19" i="25"/>
  <c r="C21" i="25" s="1"/>
  <c r="Q21" i="26"/>
  <c r="C20" i="25"/>
  <c r="I4" i="26"/>
  <c r="I40" i="26"/>
  <c r="F27" i="26"/>
  <c r="Q27" i="26"/>
  <c r="F53" i="26"/>
  <c r="Q53" i="26"/>
  <c r="F45" i="26"/>
  <c r="I45" i="26"/>
  <c r="Q45" i="26"/>
  <c r="Q30" i="26"/>
  <c r="K19" i="26"/>
  <c r="K28" i="26"/>
  <c r="K45" i="26"/>
  <c r="G53" i="26"/>
  <c r="I39" i="26"/>
  <c r="F55" i="26"/>
  <c r="F39" i="26"/>
  <c r="K55" i="26"/>
  <c r="K44" i="26"/>
  <c r="F52" i="26"/>
  <c r="G55" i="26"/>
  <c r="G27" i="26"/>
  <c r="G13" i="26"/>
  <c r="Q55" i="26"/>
  <c r="Q54" i="26"/>
  <c r="G30" i="26"/>
  <c r="Q38" i="26"/>
  <c r="G46" i="26"/>
  <c r="P55" i="26"/>
  <c r="P54" i="26"/>
  <c r="K54" i="26"/>
  <c r="P10" i="26"/>
  <c r="P27" i="26"/>
  <c r="Q37" i="26"/>
  <c r="P53" i="26"/>
  <c r="P52" i="26"/>
  <c r="Q52" i="26"/>
  <c r="Q28" i="26"/>
  <c r="K27" i="26"/>
  <c r="Q25" i="26"/>
  <c r="P39" i="26"/>
  <c r="K53" i="26"/>
  <c r="K52" i="26"/>
  <c r="I55" i="26"/>
  <c r="I54" i="26"/>
  <c r="P28" i="26"/>
  <c r="Q43" i="26"/>
  <c r="P49" i="26"/>
  <c r="I52" i="26"/>
  <c r="H54" i="26"/>
  <c r="G54" i="26"/>
  <c r="H52" i="26"/>
  <c r="C31" i="26"/>
  <c r="P45" i="26"/>
  <c r="Q50" i="26"/>
  <c r="K49" i="26"/>
  <c r="P50" i="26"/>
  <c r="P8" i="26"/>
  <c r="K50" i="26"/>
  <c r="Q24" i="26"/>
  <c r="G29" i="26"/>
  <c r="F28" i="26"/>
  <c r="P24" i="26"/>
  <c r="K39" i="26"/>
  <c r="K37" i="26"/>
  <c r="G45" i="26"/>
  <c r="I50" i="26"/>
  <c r="Q48" i="26"/>
  <c r="G21" i="26"/>
  <c r="K26" i="26"/>
  <c r="G50" i="26"/>
  <c r="G10" i="26"/>
  <c r="I19" i="26"/>
  <c r="Q23" i="26"/>
  <c r="F30" i="26"/>
  <c r="G32" i="26"/>
  <c r="H40" i="26"/>
  <c r="P37" i="26"/>
  <c r="H32" i="26"/>
  <c r="K8" i="26"/>
  <c r="K21" i="26"/>
  <c r="P30" i="26"/>
  <c r="P25" i="26"/>
  <c r="Q31" i="26"/>
  <c r="Q39" i="26"/>
  <c r="P38" i="26"/>
  <c r="H37" i="26"/>
  <c r="K46" i="26"/>
  <c r="P48" i="26"/>
  <c r="G23" i="26"/>
  <c r="K30" i="26"/>
  <c r="Q26" i="26"/>
  <c r="K25" i="26"/>
  <c r="P31" i="26"/>
  <c r="K38" i="26"/>
  <c r="Q49" i="26"/>
  <c r="K48" i="26"/>
  <c r="Q22" i="26"/>
  <c r="P26" i="26"/>
  <c r="K32" i="26"/>
  <c r="Q44" i="26"/>
  <c r="P22" i="26"/>
  <c r="G38" i="26"/>
  <c r="P44" i="26"/>
  <c r="Q47" i="26"/>
  <c r="P47" i="26"/>
  <c r="H50" i="26"/>
  <c r="K47" i="26"/>
  <c r="G49" i="26"/>
  <c r="G48" i="26"/>
  <c r="G47" i="26"/>
  <c r="K43" i="26"/>
  <c r="P42" i="26"/>
  <c r="K42" i="26"/>
  <c r="Q42" i="26"/>
  <c r="G44" i="26"/>
  <c r="P43" i="26"/>
  <c r="G43" i="26"/>
  <c r="G42" i="26"/>
  <c r="Q36" i="26"/>
  <c r="P36" i="26"/>
  <c r="G40" i="26"/>
  <c r="H39" i="26"/>
  <c r="I38" i="26"/>
  <c r="K36" i="26"/>
  <c r="F40" i="26"/>
  <c r="H38" i="26"/>
  <c r="I37" i="26"/>
  <c r="I36" i="26"/>
  <c r="P40" i="26"/>
  <c r="G37" i="26"/>
  <c r="H36" i="26"/>
  <c r="Q40" i="26"/>
  <c r="K40" i="26"/>
  <c r="G36" i="26"/>
  <c r="P33" i="26"/>
  <c r="K33" i="26"/>
  <c r="Q33" i="26"/>
  <c r="H33" i="26"/>
  <c r="G33" i="26"/>
  <c r="K31" i="26"/>
  <c r="G31" i="26"/>
  <c r="F29" i="26"/>
  <c r="K24" i="26"/>
  <c r="P29" i="26"/>
  <c r="G26" i="26"/>
  <c r="K29" i="26"/>
  <c r="G25" i="26"/>
  <c r="G24" i="26"/>
  <c r="Q29" i="26"/>
  <c r="F22" i="26"/>
  <c r="P11" i="26"/>
  <c r="H19" i="26"/>
  <c r="G6" i="26"/>
  <c r="P9" i="26"/>
  <c r="K9" i="26"/>
  <c r="Q8" i="26"/>
  <c r="G17" i="26"/>
  <c r="Q10" i="26"/>
  <c r="Q6" i="26"/>
  <c r="Q17" i="26"/>
  <c r="C18" i="26"/>
  <c r="P6" i="26"/>
  <c r="P17" i="26"/>
  <c r="C17" i="26"/>
  <c r="C28" i="26"/>
  <c r="K10" i="26"/>
  <c r="K6" i="26"/>
  <c r="C19" i="26"/>
  <c r="K17" i="26"/>
  <c r="Q16" i="26"/>
  <c r="Q18" i="26"/>
  <c r="K16" i="26"/>
  <c r="Q14" i="26"/>
  <c r="Q7" i="26"/>
  <c r="Q19" i="26"/>
  <c r="K18" i="26"/>
  <c r="H17" i="26"/>
  <c r="P7" i="26"/>
  <c r="K7" i="26"/>
  <c r="F17" i="26"/>
  <c r="F16" i="26"/>
  <c r="K12" i="26"/>
  <c r="P18" i="26"/>
  <c r="G16" i="26"/>
  <c r="P14" i="26"/>
  <c r="H12" i="26"/>
  <c r="H11" i="26"/>
  <c r="K13" i="26"/>
  <c r="I18" i="26"/>
  <c r="G12" i="26"/>
  <c r="G11" i="26"/>
  <c r="G9" i="26"/>
  <c r="G8" i="26"/>
  <c r="G7" i="26"/>
  <c r="H18" i="26"/>
  <c r="I12" i="26"/>
  <c r="F12" i="26"/>
  <c r="F11" i="26"/>
  <c r="F9" i="26"/>
  <c r="H20" i="26"/>
  <c r="F18" i="26"/>
  <c r="P16" i="26"/>
  <c r="C16" i="26"/>
  <c r="G14" i="26"/>
  <c r="K11" i="26"/>
  <c r="I11" i="26"/>
  <c r="Q12" i="26"/>
  <c r="F20" i="26"/>
  <c r="G15" i="26"/>
  <c r="G20" i="26"/>
  <c r="F15" i="26"/>
  <c r="Q15" i="26"/>
  <c r="P20" i="26"/>
  <c r="G19" i="26"/>
  <c r="K15" i="26"/>
  <c r="C15" i="26"/>
  <c r="F14" i="26"/>
  <c r="P15" i="26"/>
  <c r="K20" i="26"/>
  <c r="C20" i="26"/>
  <c r="F19" i="26"/>
  <c r="Q20" i="26"/>
  <c r="K14" i="26"/>
  <c r="C30" i="26"/>
  <c r="C29" i="26"/>
  <c r="P46" i="26"/>
  <c r="P35" i="26"/>
  <c r="P23" i="26"/>
  <c r="R18" i="1"/>
  <c r="P5" i="26"/>
  <c r="R9" i="1"/>
  <c r="P21" i="26"/>
  <c r="P13" i="26"/>
  <c r="P32" i="26"/>
  <c r="R10" i="1"/>
  <c r="R19" i="1"/>
  <c r="K35" i="26"/>
  <c r="Q35" i="26"/>
  <c r="G35" i="26"/>
  <c r="G4" i="28"/>
  <c r="F11" i="27" s="1"/>
  <c r="H51" i="26"/>
  <c r="Q51" i="26"/>
  <c r="K51" i="26"/>
  <c r="I51" i="26"/>
  <c r="G51" i="26"/>
  <c r="K41" i="26"/>
  <c r="G41" i="26"/>
  <c r="Q41" i="26"/>
  <c r="G5" i="26"/>
  <c r="K5" i="26"/>
  <c r="K4" i="26" l="1"/>
  <c r="C22" i="25"/>
  <c r="H4" i="26"/>
  <c r="G7" i="28"/>
  <c r="E34" i="26"/>
  <c r="P44" i="1"/>
  <c r="I33" i="26" s="1"/>
  <c r="O44" i="1"/>
  <c r="H1" i="21"/>
  <c r="P34" i="1"/>
  <c r="I32" i="26" s="1"/>
  <c r="O34" i="1"/>
  <c r="D32" i="24"/>
  <c r="D33" i="24"/>
  <c r="D34" i="24"/>
  <c r="D35" i="24"/>
  <c r="D36" i="24"/>
  <c r="D37" i="24"/>
  <c r="D38" i="24"/>
  <c r="D39" i="24"/>
  <c r="D31" i="24"/>
  <c r="P24" i="1" s="1"/>
  <c r="C32" i="24"/>
  <c r="N25" i="1" s="1"/>
  <c r="C33" i="24"/>
  <c r="C34" i="24"/>
  <c r="N27" i="1" s="1"/>
  <c r="C35" i="24"/>
  <c r="C36" i="24"/>
  <c r="N29" i="1" s="1"/>
  <c r="C37" i="24"/>
  <c r="C38" i="24"/>
  <c r="C39" i="24"/>
  <c r="N24" i="1"/>
  <c r="P22" i="1"/>
  <c r="I22" i="26" s="1"/>
  <c r="E24" i="24"/>
  <c r="N21" i="1" s="1"/>
  <c r="P21" i="1"/>
  <c r="I21" i="26" s="1"/>
  <c r="I10" i="26"/>
  <c r="I5" i="26"/>
  <c r="H5" i="26"/>
  <c r="M11" i="23"/>
  <c r="K11" i="23"/>
  <c r="F17" i="24" s="1"/>
  <c r="P15" i="1" s="1"/>
  <c r="C14" i="24"/>
  <c r="K10" i="23"/>
  <c r="C15" i="24"/>
  <c r="K9" i="23"/>
  <c r="F15" i="24" s="1"/>
  <c r="P13" i="1" s="1"/>
  <c r="K48" i="1"/>
  <c r="L48" i="1"/>
  <c r="K34" i="1"/>
  <c r="L34" i="1"/>
  <c r="M34" i="1" s="1"/>
  <c r="L44" i="1"/>
  <c r="K3" i="1"/>
  <c r="L3" i="1"/>
  <c r="M3" i="1" s="1"/>
  <c r="K4" i="1"/>
  <c r="L4" i="1"/>
  <c r="M4" i="1" s="1"/>
  <c r="K5" i="1"/>
  <c r="L5" i="1"/>
  <c r="M5" i="1" s="1"/>
  <c r="K12" i="1"/>
  <c r="L12" i="1"/>
  <c r="M12" i="1" s="1"/>
  <c r="K13" i="1"/>
  <c r="L13" i="1"/>
  <c r="M13" i="1" s="1"/>
  <c r="K16" i="1"/>
  <c r="L16" i="1"/>
  <c r="M16" i="1" s="1"/>
  <c r="K17" i="1"/>
  <c r="L17" i="1"/>
  <c r="M17" i="1" s="1"/>
  <c r="K21" i="1"/>
  <c r="Q21" i="1"/>
  <c r="K24" i="1"/>
  <c r="L24" i="1"/>
  <c r="M24" i="1" s="1"/>
  <c r="K25" i="1"/>
  <c r="L25" i="1"/>
  <c r="M25" i="1" s="1"/>
  <c r="K26" i="1"/>
  <c r="L26" i="1"/>
  <c r="M26" i="1" s="1"/>
  <c r="K27" i="1"/>
  <c r="L27" i="1"/>
  <c r="M27" i="1" s="1"/>
  <c r="K28" i="1"/>
  <c r="L28" i="1"/>
  <c r="M28" i="1" s="1"/>
  <c r="K29" i="1"/>
  <c r="L29" i="1"/>
  <c r="M29" i="1" s="1"/>
  <c r="K30" i="1"/>
  <c r="L30" i="1"/>
  <c r="M30" i="1" s="1"/>
  <c r="K31" i="1"/>
  <c r="L31" i="1"/>
  <c r="M31" i="1" s="1"/>
  <c r="K32" i="1"/>
  <c r="L32" i="1"/>
  <c r="M32" i="1" s="1"/>
  <c r="N28" i="1" l="1"/>
  <c r="H27" i="26" s="1"/>
  <c r="N26" i="1"/>
  <c r="H25" i="26" s="1"/>
  <c r="P25" i="1"/>
  <c r="F14" i="24"/>
  <c r="P12" i="1" s="1"/>
  <c r="I13" i="26" s="1"/>
  <c r="F16" i="24"/>
  <c r="P14" i="1" s="1"/>
  <c r="N32" i="1"/>
  <c r="H31" i="26" s="1"/>
  <c r="P32" i="1"/>
  <c r="I31" i="26" s="1"/>
  <c r="N31" i="1"/>
  <c r="H30" i="26" s="1"/>
  <c r="P31" i="1"/>
  <c r="I30" i="26" s="1"/>
  <c r="N30" i="1"/>
  <c r="H29" i="26" s="1"/>
  <c r="P30" i="1"/>
  <c r="I29" i="26" s="1"/>
  <c r="P29" i="1"/>
  <c r="I28" i="26" s="1"/>
  <c r="P28" i="1"/>
  <c r="I27" i="26" s="1"/>
  <c r="P27" i="1"/>
  <c r="I26" i="26" s="1"/>
  <c r="P26" i="1"/>
  <c r="I25" i="26" s="1"/>
  <c r="M48" i="1"/>
  <c r="Q48" i="1" s="1"/>
  <c r="D14" i="24"/>
  <c r="E14" i="24" s="1"/>
  <c r="N12" i="1" s="1"/>
  <c r="O12" i="1" s="1"/>
  <c r="H28" i="26"/>
  <c r="H26" i="26"/>
  <c r="H24" i="26"/>
  <c r="H23" i="26"/>
  <c r="I23" i="26"/>
  <c r="I24" i="26"/>
  <c r="M44" i="1"/>
  <c r="Q34" i="1"/>
  <c r="R34" i="1" s="1"/>
  <c r="D16" i="24"/>
  <c r="E16" i="24" s="1"/>
  <c r="N14" i="1" s="1"/>
  <c r="D17" i="24"/>
  <c r="E17" i="24" s="1"/>
  <c r="N15" i="1" s="1"/>
  <c r="O15" i="1" s="1"/>
  <c r="R15" i="1" s="1"/>
  <c r="D15" i="24"/>
  <c r="E15" i="24" s="1"/>
  <c r="N13" i="1" s="1"/>
  <c r="H21" i="26"/>
  <c r="O8" i="1"/>
  <c r="R8" i="1" s="1"/>
  <c r="H10" i="26"/>
  <c r="I15" i="26"/>
  <c r="I16" i="26"/>
  <c r="I8" i="26"/>
  <c r="I9" i="26"/>
  <c r="Q34" i="26"/>
  <c r="P34" i="26"/>
  <c r="I7" i="26"/>
  <c r="I14" i="26"/>
  <c r="I6" i="26"/>
  <c r="G34" i="26"/>
  <c r="H34" i="26"/>
  <c r="I34" i="26"/>
  <c r="K34" i="26"/>
  <c r="H6" i="26"/>
  <c r="H7" i="26"/>
  <c r="J1" i="1"/>
  <c r="O48" i="1"/>
  <c r="N22" i="1"/>
  <c r="C55" i="26"/>
  <c r="C53" i="26"/>
  <c r="C52" i="26"/>
  <c r="C51" i="26"/>
  <c r="C44" i="26"/>
  <c r="C42" i="26"/>
  <c r="C41" i="26"/>
  <c r="C39" i="26"/>
  <c r="C36" i="26"/>
  <c r="C34" i="26"/>
  <c r="C32" i="26"/>
  <c r="C24" i="26"/>
  <c r="C21" i="26"/>
  <c r="C10" i="26"/>
  <c r="C9" i="26"/>
  <c r="C6" i="26"/>
  <c r="F5" i="26"/>
  <c r="C5" i="26"/>
  <c r="O22" i="1" l="1"/>
  <c r="R22" i="1" s="1"/>
  <c r="H22" i="26"/>
  <c r="M1" i="1"/>
  <c r="R48" i="1"/>
  <c r="Q44" i="1"/>
  <c r="R44" i="1" s="1"/>
  <c r="O29" i="1"/>
  <c r="O28" i="1"/>
  <c r="O27" i="1"/>
  <c r="O26" i="1"/>
  <c r="O25" i="1"/>
  <c r="O24" i="1"/>
  <c r="R24" i="1" s="1"/>
  <c r="O21" i="1"/>
  <c r="H14" i="26"/>
  <c r="O7" i="1"/>
  <c r="R7" i="1" s="1"/>
  <c r="H9" i="26"/>
  <c r="O6" i="1"/>
  <c r="R6" i="1" s="1"/>
  <c r="H8" i="26"/>
  <c r="P4" i="26"/>
  <c r="P1" i="1"/>
  <c r="O5" i="1"/>
  <c r="O4" i="1"/>
  <c r="H13" i="26"/>
  <c r="C35" i="26"/>
  <c r="C43" i="26"/>
  <c r="C54" i="26"/>
  <c r="F23" i="26"/>
  <c r="C13" i="26"/>
  <c r="C27" i="26"/>
  <c r="C50" i="26"/>
  <c r="C23" i="26"/>
  <c r="C26" i="26"/>
  <c r="C33" i="26"/>
  <c r="C48" i="26"/>
  <c r="F13" i="26"/>
  <c r="F35" i="26"/>
  <c r="C45" i="26"/>
  <c r="F46" i="26"/>
  <c r="C8" i="26"/>
  <c r="C11" i="26"/>
  <c r="C38" i="26"/>
  <c r="C12" i="26"/>
  <c r="C49" i="26"/>
  <c r="F21" i="26"/>
  <c r="F34" i="26"/>
  <c r="F32" i="26"/>
  <c r="C46" i="26"/>
  <c r="C7" i="26"/>
  <c r="C37" i="26"/>
  <c r="F41" i="26"/>
  <c r="F51" i="26"/>
  <c r="C25" i="26"/>
  <c r="C40" i="26"/>
  <c r="C47" i="26"/>
  <c r="N9" i="21"/>
  <c r="L9" i="21"/>
  <c r="H46" i="26" s="1"/>
  <c r="N12" i="21"/>
  <c r="N11" i="21"/>
  <c r="L12" i="21"/>
  <c r="H49" i="26" s="1"/>
  <c r="L11" i="21"/>
  <c r="H48" i="26" s="1"/>
  <c r="I44" i="26" l="1"/>
  <c r="I49" i="26"/>
  <c r="I43" i="26"/>
  <c r="I48" i="26"/>
  <c r="I41" i="26"/>
  <c r="I46" i="26"/>
  <c r="O14" i="1"/>
  <c r="R14" i="1" s="1"/>
  <c r="H15" i="26"/>
  <c r="H16" i="26"/>
  <c r="O13" i="1"/>
  <c r="O17" i="1"/>
  <c r="O16" i="1"/>
  <c r="N1" i="1"/>
  <c r="N10" i="21"/>
  <c r="L10" i="21"/>
  <c r="H47" i="26" s="1"/>
  <c r="N4" i="24"/>
  <c r="N5" i="24"/>
  <c r="N6" i="24"/>
  <c r="N7" i="24"/>
  <c r="N8" i="24"/>
  <c r="N9" i="24"/>
  <c r="N10" i="24"/>
  <c r="N11" i="24"/>
  <c r="N12" i="24"/>
  <c r="N13" i="24"/>
  <c r="N14" i="24"/>
  <c r="N15" i="24"/>
  <c r="N16" i="24"/>
  <c r="N17" i="24"/>
  <c r="N18" i="24"/>
  <c r="N19" i="24"/>
  <c r="N20" i="24"/>
  <c r="N21" i="24"/>
  <c r="N22" i="24"/>
  <c r="N23" i="24"/>
  <c r="N24" i="24"/>
  <c r="N25" i="24"/>
  <c r="N3" i="24"/>
  <c r="L3" i="21" s="1"/>
  <c r="H41" i="26" s="1"/>
  <c r="I3" i="21"/>
  <c r="I4" i="21"/>
  <c r="I5" i="21"/>
  <c r="I6" i="21"/>
  <c r="I7" i="21"/>
  <c r="I13" i="21"/>
  <c r="I10" i="21"/>
  <c r="I11" i="21"/>
  <c r="I12" i="21"/>
  <c r="I9" i="21"/>
  <c r="J3" i="21"/>
  <c r="K3" i="21" s="1"/>
  <c r="J4" i="21"/>
  <c r="K4" i="21" s="1"/>
  <c r="J5" i="21"/>
  <c r="K5" i="21" s="1"/>
  <c r="J6" i="21"/>
  <c r="K6" i="21" s="1"/>
  <c r="J7" i="21"/>
  <c r="K7" i="21" s="1"/>
  <c r="J13" i="21"/>
  <c r="K13" i="21" s="1"/>
  <c r="J10" i="21"/>
  <c r="K10" i="21" s="1"/>
  <c r="J11" i="21"/>
  <c r="K11" i="21" s="1"/>
  <c r="J12" i="21"/>
  <c r="K12" i="21" s="1"/>
  <c r="J9" i="21"/>
  <c r="K9" i="21" s="1"/>
  <c r="N8" i="22"/>
  <c r="N7" i="22"/>
  <c r="AA45" i="24"/>
  <c r="W44" i="24" s="1"/>
  <c r="AA87" i="24"/>
  <c r="AA92" i="24"/>
  <c r="AA91" i="24"/>
  <c r="AA90" i="24"/>
  <c r="AA89" i="24"/>
  <c r="AA110" i="24"/>
  <c r="AA104" i="24"/>
  <c r="AA101" i="24"/>
  <c r="AA96" i="24"/>
  <c r="AA80" i="24"/>
  <c r="L8" i="22"/>
  <c r="L7" i="22"/>
  <c r="AA4" i="24"/>
  <c r="AA32" i="24"/>
  <c r="AA29" i="24"/>
  <c r="AA19" i="24"/>
  <c r="AA14" i="24"/>
  <c r="AC13" i="24"/>
  <c r="AA5" i="24"/>
  <c r="J8" i="22"/>
  <c r="K8" i="22" s="1"/>
  <c r="J7" i="22"/>
  <c r="K7" i="22" s="1"/>
  <c r="J5" i="22"/>
  <c r="K5" i="22" s="1"/>
  <c r="J4" i="22"/>
  <c r="K4" i="22" s="1"/>
  <c r="J3" i="22"/>
  <c r="K3" i="22" s="1"/>
  <c r="I8" i="22"/>
  <c r="I7" i="22"/>
  <c r="I5" i="22"/>
  <c r="I4" i="22"/>
  <c r="I3" i="22"/>
  <c r="K4" i="20"/>
  <c r="K5" i="20"/>
  <c r="K6" i="20"/>
  <c r="K7" i="20"/>
  <c r="K8" i="20"/>
  <c r="K3" i="20"/>
  <c r="V3" i="24" l="1"/>
  <c r="I42" i="26"/>
  <c r="I47" i="26"/>
  <c r="K1" i="21"/>
  <c r="K1" i="22"/>
  <c r="O6" i="21"/>
  <c r="O5" i="21"/>
  <c r="O7" i="21"/>
  <c r="O4" i="21"/>
  <c r="AA88" i="24"/>
  <c r="W81" i="24" s="1"/>
  <c r="N4" i="22" s="1"/>
  <c r="O3" i="21"/>
  <c r="M3" i="21"/>
  <c r="V45" i="24"/>
  <c r="L5" i="22" s="1"/>
  <c r="H53" i="26" s="1"/>
  <c r="W48" i="24"/>
  <c r="L3" i="22"/>
  <c r="M3" i="22" s="1"/>
  <c r="N6" i="21"/>
  <c r="V44" i="24"/>
  <c r="W47" i="24"/>
  <c r="V48" i="24"/>
  <c r="W46" i="24"/>
  <c r="W3" i="24"/>
  <c r="V47" i="24"/>
  <c r="W45" i="24"/>
  <c r="N5" i="22" s="1"/>
  <c r="I53" i="26" s="1"/>
  <c r="V46" i="24"/>
  <c r="W49" i="24"/>
  <c r="V49" i="24"/>
  <c r="N3" i="21"/>
  <c r="V83" i="24"/>
  <c r="N4" i="21"/>
  <c r="N7" i="21"/>
  <c r="W4" i="24"/>
  <c r="L5" i="21"/>
  <c r="H43" i="26" s="1"/>
  <c r="N5" i="21"/>
  <c r="L7" i="21"/>
  <c r="H45" i="26" s="1"/>
  <c r="L6" i="21"/>
  <c r="H44" i="26" s="1"/>
  <c r="L4" i="21"/>
  <c r="H42" i="26" s="1"/>
  <c r="V81" i="24"/>
  <c r="L4" i="22" s="1"/>
  <c r="M4" i="22" s="1"/>
  <c r="V84" i="24"/>
  <c r="W83" i="24"/>
  <c r="W82" i="24"/>
  <c r="V4" i="24"/>
  <c r="W9" i="24"/>
  <c r="N3" i="22"/>
  <c r="V10" i="24"/>
  <c r="W10" i="24"/>
  <c r="V9" i="24"/>
  <c r="W8" i="24"/>
  <c r="V8" i="24"/>
  <c r="W7" i="24"/>
  <c r="V7" i="24"/>
  <c r="W6" i="24"/>
  <c r="V6" i="24"/>
  <c r="W5" i="24"/>
  <c r="V5" i="24"/>
  <c r="V79" i="24" l="1"/>
  <c r="V80" i="24"/>
  <c r="W79" i="24"/>
  <c r="V82" i="24"/>
  <c r="W84" i="24"/>
  <c r="M5" i="22"/>
  <c r="W80" i="24"/>
  <c r="M4" i="21"/>
  <c r="P4" i="21" s="1"/>
  <c r="M6" i="21"/>
  <c r="P6" i="21" s="1"/>
  <c r="M7" i="21"/>
  <c r="P7" i="21" s="1"/>
  <c r="P3" i="21"/>
  <c r="M5" i="21"/>
  <c r="P5" i="21" s="1"/>
  <c r="H58" i="24"/>
  <c r="H57" i="24"/>
  <c r="H56" i="24"/>
  <c r="H55" i="24"/>
  <c r="H54" i="24"/>
  <c r="H53" i="24"/>
  <c r="H52" i="24"/>
  <c r="H51" i="24"/>
  <c r="H50" i="24"/>
  <c r="H49" i="24"/>
  <c r="H48" i="24"/>
  <c r="H47" i="24"/>
  <c r="H46" i="24"/>
  <c r="H45" i="24"/>
  <c r="H44" i="24"/>
  <c r="H43" i="24"/>
  <c r="H42" i="24"/>
  <c r="H41" i="24"/>
  <c r="H40" i="24"/>
  <c r="H39" i="24"/>
  <c r="H38" i="24"/>
  <c r="H35" i="24"/>
  <c r="H34" i="24"/>
  <c r="H33" i="24"/>
  <c r="H32" i="24"/>
  <c r="H31" i="24"/>
  <c r="H30" i="24"/>
  <c r="H29" i="24"/>
  <c r="H28" i="24"/>
  <c r="N7" i="20" s="1"/>
  <c r="O7" i="20" s="1"/>
  <c r="P6" i="20"/>
  <c r="N6" i="20"/>
  <c r="J14" i="24"/>
  <c r="P5" i="20" s="1"/>
  <c r="I14" i="24"/>
  <c r="N5" i="20" s="1"/>
  <c r="O5" i="20" s="1"/>
  <c r="P4" i="20"/>
  <c r="N4" i="20"/>
  <c r="O4" i="20" s="1"/>
  <c r="P3" i="20"/>
  <c r="I35" i="26" s="1"/>
  <c r="L4" i="20"/>
  <c r="M4" i="20" s="1"/>
  <c r="Q4" i="20" s="1"/>
  <c r="L5" i="20"/>
  <c r="M5" i="20" s="1"/>
  <c r="Q5" i="20" s="1"/>
  <c r="L6" i="20"/>
  <c r="M6" i="20" s="1"/>
  <c r="Q6" i="20" s="1"/>
  <c r="L7" i="20"/>
  <c r="M7" i="20" s="1"/>
  <c r="Q7" i="20" s="1"/>
  <c r="L8" i="20"/>
  <c r="M8" i="20" s="1"/>
  <c r="Q8" i="20" s="1"/>
  <c r="L3" i="20"/>
  <c r="O3" i="20" l="1"/>
  <c r="H35" i="26"/>
  <c r="P8" i="20"/>
  <c r="P7" i="20"/>
  <c r="N8" i="20"/>
  <c r="M3" i="20"/>
  <c r="M1" i="20" s="1"/>
  <c r="R5" i="20"/>
  <c r="R7" i="20"/>
  <c r="R4" i="20"/>
  <c r="O6" i="20"/>
  <c r="R6" i="20" s="1"/>
  <c r="O8" i="20" l="1"/>
  <c r="R8" i="20" s="1"/>
  <c r="Q3" i="20"/>
  <c r="O8" i="22"/>
  <c r="M8" i="22"/>
  <c r="O7" i="22"/>
  <c r="M7" i="22"/>
  <c r="O4" i="22"/>
  <c r="P4" i="22" s="1"/>
  <c r="O5" i="22"/>
  <c r="P5" i="22" s="1"/>
  <c r="O3" i="22"/>
  <c r="P3" i="22" s="1"/>
  <c r="H1" i="22"/>
  <c r="O9" i="21"/>
  <c r="M9" i="21"/>
  <c r="O12" i="21"/>
  <c r="M12" i="21"/>
  <c r="O11" i="21"/>
  <c r="M11" i="21"/>
  <c r="O10" i="21"/>
  <c r="M10" i="21"/>
  <c r="O13" i="21"/>
  <c r="N1" i="21"/>
  <c r="J1" i="20"/>
  <c r="B19" i="25" s="1"/>
  <c r="B20" i="25" l="1"/>
  <c r="C10" i="27"/>
  <c r="C12" i="27" s="1"/>
  <c r="D20" i="25" s="1"/>
  <c r="P12" i="21"/>
  <c r="P10" i="21"/>
  <c r="P8" i="22"/>
  <c r="P11" i="21"/>
  <c r="P7" i="22"/>
  <c r="P9" i="21"/>
  <c r="M13" i="21"/>
  <c r="L1" i="21"/>
  <c r="R3" i="20"/>
  <c r="O1" i="21"/>
  <c r="N1" i="20"/>
  <c r="Q1" i="20"/>
  <c r="P1" i="20"/>
  <c r="B27" i="25" l="1"/>
  <c r="C18" i="29"/>
  <c r="C23" i="29" s="1"/>
  <c r="O1" i="22"/>
  <c r="M1" i="21"/>
  <c r="P1" i="21" s="1"/>
  <c r="P13" i="21"/>
  <c r="M1" i="22"/>
  <c r="L1" i="22"/>
  <c r="N1" i="22"/>
  <c r="O1" i="20"/>
  <c r="R1" i="20" s="1"/>
  <c r="P1" i="22" l="1"/>
  <c r="O31" i="1"/>
  <c r="O32" i="1"/>
  <c r="O30" i="1"/>
  <c r="O3" i="1"/>
  <c r="O1" i="1" l="1"/>
  <c r="R21" i="1"/>
  <c r="G10" i="27" l="1"/>
  <c r="G12" i="27" s="1"/>
  <c r="Q4" i="1" l="1"/>
  <c r="R4" i="1" s="1"/>
  <c r="Q5" i="1"/>
  <c r="R5" i="1" s="1"/>
  <c r="Q12" i="1"/>
  <c r="R12" i="1" s="1"/>
  <c r="Q13" i="1"/>
  <c r="R13" i="1" s="1"/>
  <c r="Q16" i="1"/>
  <c r="R16" i="1" s="1"/>
  <c r="Q17" i="1"/>
  <c r="R17" i="1" s="1"/>
  <c r="Q25" i="1"/>
  <c r="R25" i="1" s="1"/>
  <c r="Q26" i="1"/>
  <c r="R26" i="1" s="1"/>
  <c r="Q27" i="1"/>
  <c r="R27" i="1" s="1"/>
  <c r="Q28" i="1"/>
  <c r="R28" i="1" s="1"/>
  <c r="Q29" i="1"/>
  <c r="R29" i="1" s="1"/>
  <c r="Q30" i="1"/>
  <c r="R30" i="1" s="1"/>
  <c r="Q31" i="1"/>
  <c r="R31" i="1" s="1"/>
  <c r="Q32" i="1"/>
  <c r="R32" i="1" s="1"/>
  <c r="Q3" i="1"/>
  <c r="R3" i="1" s="1"/>
  <c r="E10" i="27" l="1"/>
  <c r="F10" i="27"/>
  <c r="E12" i="27" l="1"/>
  <c r="D18" i="29"/>
  <c r="D23" i="29" s="1"/>
  <c r="F12" i="27"/>
  <c r="B3" i="25" l="1"/>
  <c r="B25" i="25"/>
  <c r="D19" i="25"/>
  <c r="B21" i="25"/>
  <c r="B22" i="25"/>
  <c r="Q1" i="1"/>
  <c r="R1" i="1" s="1"/>
  <c r="J50" i="26" l="1"/>
  <c r="J22" i="26"/>
  <c r="J48" i="26"/>
  <c r="J49" i="26"/>
  <c r="J46" i="26"/>
  <c r="J47" i="26"/>
  <c r="J44" i="26"/>
  <c r="J45" i="26"/>
  <c r="J42" i="26"/>
  <c r="J43" i="26"/>
  <c r="J41" i="26"/>
  <c r="J35" i="26"/>
  <c r="J30" i="26"/>
  <c r="J31" i="26"/>
  <c r="J28" i="26"/>
  <c r="J29" i="26"/>
  <c r="J26" i="26"/>
  <c r="J27" i="26"/>
  <c r="J24" i="26"/>
  <c r="J25" i="26"/>
  <c r="J33" i="26"/>
  <c r="J34" i="26"/>
  <c r="J23" i="26"/>
  <c r="J32" i="26"/>
  <c r="J16" i="26"/>
  <c r="D10" i="27"/>
  <c r="H10" i="27" s="1"/>
  <c r="J14" i="26"/>
  <c r="J15" i="26"/>
  <c r="J10" i="26"/>
  <c r="J13" i="26"/>
  <c r="J5" i="26"/>
  <c r="J6" i="26"/>
  <c r="J8" i="26"/>
  <c r="J9" i="26"/>
  <c r="J7" i="26"/>
  <c r="J21" i="26"/>
  <c r="D11" i="27"/>
  <c r="H11" i="27" s="1"/>
  <c r="D21" i="25"/>
  <c r="D22" i="25"/>
  <c r="D12" i="27" l="1"/>
  <c r="H12" i="27" s="1"/>
  <c r="E18" i="29"/>
  <c r="J4" i="26"/>
  <c r="E17" i="29" s="1"/>
  <c r="I11" i="27"/>
  <c r="E23" i="29" l="1"/>
  <c r="J3" i="26"/>
  <c r="I12" i="27"/>
  <c r="I10" i="27"/>
  <c r="B26" i="25" l="1"/>
  <c r="G3"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E20" authorId="0" shapeId="0" xr:uid="{7265F1C9-8685-4266-A026-1119326870A9}">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Bauer, Jesse</author>
  </authors>
  <commentList>
    <comment ref="B5" authorId="0" shapeId="0" xr:uid="{A9BC6D15-CC90-407A-B8FB-F67C0D1A7D23}">
      <text>
        <r>
          <rPr>
            <sz val="9"/>
            <color indexed="81"/>
            <rFont val="Tahoma"/>
            <family val="2"/>
          </rPr>
          <t xml:space="preserve">Does not include internal labor/self-installation costs
</t>
        </r>
      </text>
    </comment>
    <comment ref="H9" authorId="0" shapeId="0" xr:uid="{8E602B6F-47C6-49B4-A524-503022DE97D8}">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D12" authorId="0" shapeId="0" xr:uid="{6C6086F6-A54C-45A7-99FE-7BC9E7D83295}">
      <text>
        <r>
          <rPr>
            <sz val="9"/>
            <color indexed="81"/>
            <rFont val="Tahoma"/>
            <family val="2"/>
          </rPr>
          <t xml:space="preserve">The total authorized incentive amount awarded will be up to $30,000 for Small C&amp;I, $100,000 for Large C&amp;I, or 100% of the total project cost(s), whichever is less. The final total could differ from summing the individual incentives from the measure input tabs.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Bauer, Jesse</author>
  </authors>
  <commentList>
    <comment ref="J2" authorId="0" shapeId="0" xr:uid="{68E554E8-EDAF-41A5-AFD9-39D64A582352}">
      <text>
        <r>
          <rPr>
            <sz val="9"/>
            <color indexed="81"/>
            <rFont val="Tahoma"/>
            <family val="2"/>
          </rPr>
          <t xml:space="preserve">Insert cost of materials and labor per specific line item for all measures you are applying for. </t>
        </r>
      </text>
    </comment>
    <comment ref="M2" authorId="0" shapeId="0" xr:uid="{2681F71A-5096-4D61-8660-C40C4CAA1E8C}">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2" authorId="0" shapeId="0" xr:uid="{00000000-0006-0000-0200-000008000000}">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J11" authorId="0" shapeId="0" xr:uid="{A9D026AD-63C4-42A6-ACFE-C6105C139FEE}">
      <text>
        <r>
          <rPr>
            <sz val="9"/>
            <color indexed="81"/>
            <rFont val="Tahoma"/>
            <family val="2"/>
          </rPr>
          <t xml:space="preserve">Insert cost of materials and labor per specific line item for all measures you are applying for. </t>
        </r>
      </text>
    </comment>
    <comment ref="M11" authorId="0" shapeId="0" xr:uid="{43195D11-AE48-4009-963C-3CE3498E21C8}">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11" authorId="0" shapeId="0" xr:uid="{FBE388F3-A4B9-4E9A-88BF-B71C5D70FC1B}">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J20" authorId="0" shapeId="0" xr:uid="{16CC7EA2-4C07-4FD9-A337-C60310C9790B}">
      <text>
        <r>
          <rPr>
            <sz val="9"/>
            <color indexed="81"/>
            <rFont val="Tahoma"/>
            <family val="2"/>
          </rPr>
          <t xml:space="preserve">Insert cost of materials and labor per specific line item for all measures you are applying for. </t>
        </r>
      </text>
    </comment>
    <comment ref="M20" authorId="0" shapeId="0" xr:uid="{5806936D-ACC5-4C30-BFF2-7D414A9EA753}">
      <text>
        <r>
          <rPr>
            <sz val="9"/>
            <color indexed="81"/>
            <rFont val="Tahoma"/>
            <family val="2"/>
          </rPr>
          <t>The total authorized incentive amount awarded will be up to $25,000 or 100% of the total project cost, whichever is less. This value reflects the potential incentive for the measures shown on this tab and does not include a project-level cap of $25,000. The project-level incentive is provided on the Summary tab.</t>
        </r>
      </text>
    </comment>
    <comment ref="Q20" authorId="1" shapeId="0" xr:uid="{6E5B36D3-DB49-46F4-8C38-EAD6D157C383}">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J23" authorId="0" shapeId="0" xr:uid="{EEEFF293-3470-42A6-937A-35EF0F8B4EB2}">
      <text>
        <r>
          <rPr>
            <sz val="9"/>
            <color indexed="81"/>
            <rFont val="Tahoma"/>
            <family val="2"/>
          </rPr>
          <t xml:space="preserve">Insert cost of materials and labor per specific line item for all measures you are applying for. </t>
        </r>
      </text>
    </comment>
    <comment ref="M23" authorId="0" shapeId="0" xr:uid="{4034BC69-E2C5-48CE-8847-F587C085CFFE}">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23" authorId="0" shapeId="0" xr:uid="{4E112B64-41D0-4BBD-B7A3-FF163B438BC9}">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J33" authorId="0" shapeId="0" xr:uid="{A5E645EA-58CD-45E1-BE25-A04117A20080}">
      <text>
        <r>
          <rPr>
            <sz val="9"/>
            <color indexed="81"/>
            <rFont val="Tahoma"/>
            <family val="2"/>
          </rPr>
          <t xml:space="preserve">Insert cost of materials and labor per specific line item for all measures you are applying for. </t>
        </r>
      </text>
    </comment>
    <comment ref="M33" authorId="0" shapeId="0" xr:uid="{9C62CA7C-C0C4-4391-8B87-3ECB6E8B6EA4}">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33" authorId="0" shapeId="0" xr:uid="{F57C7646-3D8E-4366-A739-C94637DF1508}">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J47" authorId="0" shapeId="0" xr:uid="{380BC3D7-53BF-4569-A132-A777D81D5A28}">
      <text>
        <r>
          <rPr>
            <sz val="9"/>
            <color indexed="81"/>
            <rFont val="Tahoma"/>
            <family val="2"/>
          </rPr>
          <t xml:space="preserve">Insert cost of materials and labor per specific line item for all measures you are applying for. </t>
        </r>
      </text>
    </comment>
    <comment ref="M47" authorId="0" shapeId="0" xr:uid="{248FE5C4-F87B-4087-B4C7-C80830B373FD}">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47" authorId="0" shapeId="0" xr:uid="{8214D240-260E-49B0-9FBF-E77AADDEDD4D}">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I2" authorId="0" shapeId="0" xr:uid="{988558AC-4F01-404A-9D0A-ECD7B406F842}">
      <text>
        <r>
          <rPr>
            <sz val="9"/>
            <color indexed="81"/>
            <rFont val="Tahoma"/>
            <family val="2"/>
          </rPr>
          <t xml:space="preserve">Input the # of corresponding units from the "Unit of measure" column associated with the specific measure(s) being submitted. </t>
        </r>
      </text>
    </comment>
    <comment ref="J2" authorId="0" shapeId="0" xr:uid="{A630158F-9F68-4F7B-93B8-581AD9B31974}">
      <text>
        <r>
          <rPr>
            <sz val="9"/>
            <color indexed="81"/>
            <rFont val="Tahoma"/>
            <family val="2"/>
          </rPr>
          <t xml:space="preserve">Insert cost of materials per specific line item for all measures you are applying for. </t>
        </r>
      </text>
    </comment>
    <comment ref="M2" authorId="0" shapeId="0" xr:uid="{A4E9F7C2-F079-4964-97BA-BA32675CBE8B}">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Q2" authorId="0" shapeId="0" xr:uid="{DBE5283F-FCC5-41BD-BEC3-1162C0AC527F}">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G2" authorId="0" shapeId="0" xr:uid="{15F3294C-C30B-4ABD-8BAD-0050D2E3F1FA}">
      <text>
        <r>
          <rPr>
            <sz val="9"/>
            <color indexed="81"/>
            <rFont val="Tahoma"/>
            <family val="2"/>
          </rPr>
          <t xml:space="preserve">Input the # of corresponding units from the "Unit of measure" column associated with the specific measure(s) being submitted. </t>
        </r>
      </text>
    </comment>
    <comment ref="H2" authorId="0" shapeId="0" xr:uid="{D0D448B4-F62F-4E4C-8CD3-4049B5F302FE}">
      <text>
        <r>
          <rPr>
            <sz val="9"/>
            <color indexed="81"/>
            <rFont val="Tahoma"/>
            <family val="2"/>
          </rPr>
          <t xml:space="preserve">Insert cost of materials per specific line item for all measures you are applying for. </t>
        </r>
      </text>
    </comment>
    <comment ref="K2" authorId="0" shapeId="0" xr:uid="{4C7D1BC7-F1E3-40C6-A3FA-2069F57C8511}">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O2" authorId="0" shapeId="0" xr:uid="{B1FA9533-3B57-44D7-B07E-446BC7369621}">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G8" authorId="0" shapeId="0" xr:uid="{A0274803-3EAD-4DA9-A767-F68B767883E4}">
      <text>
        <r>
          <rPr>
            <sz val="9"/>
            <color indexed="81"/>
            <rFont val="Tahoma"/>
            <family val="2"/>
          </rPr>
          <t xml:space="preserve">Input the # of corresponding units from the "Unit of measure" column associated with the specific measure(s) being submitted. </t>
        </r>
      </text>
    </comment>
    <comment ref="H8" authorId="0" shapeId="0" xr:uid="{4A00BD99-9353-4D10-98CB-1F4C663CF65D}">
      <text>
        <r>
          <rPr>
            <sz val="9"/>
            <color indexed="81"/>
            <rFont val="Tahoma"/>
            <family val="2"/>
          </rPr>
          <t xml:space="preserve">Insert cost of materials per specific line item for all measures you are applying for. </t>
        </r>
      </text>
    </comment>
    <comment ref="K8" authorId="0" shapeId="0" xr:uid="{AF882565-717E-4A26-9FD3-AAE247551657}">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O8" authorId="0" shapeId="0" xr:uid="{EF61A57A-0BA4-48BC-B089-80D886495B80}">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Kurtz, Spencer</author>
    <author>Bauer, Jesse</author>
  </authors>
  <commentList>
    <comment ref="G2" authorId="0" shapeId="0" xr:uid="{7107EAE1-D362-49E6-AA0A-37E578654106}">
      <text>
        <r>
          <rPr>
            <sz val="9"/>
            <color indexed="81"/>
            <rFont val="Tahoma"/>
            <family val="2"/>
          </rPr>
          <t xml:space="preserve">Input the # of corresponding units from the "Unit of measure" column associated with the specific measure(s) being submitted. 
</t>
        </r>
      </text>
    </comment>
    <comment ref="H2" authorId="0" shapeId="0" xr:uid="{DE415FF2-1154-413B-A167-C9404893DEEA}">
      <text>
        <r>
          <rPr>
            <sz val="9"/>
            <color indexed="81"/>
            <rFont val="Tahoma"/>
            <family val="2"/>
          </rPr>
          <t xml:space="preserve">Insert cost of materials per specific line item for all measures you are applying for. </t>
        </r>
      </text>
    </comment>
    <comment ref="K2" authorId="0" shapeId="0" xr:uid="{AF29AAB0-71CD-4B7E-A6D3-85DD3371B41F}">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O2" authorId="0" shapeId="0" xr:uid="{D16AA92F-1C5F-4D25-AF83-7C4B92452A32}">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 ref="G6" authorId="0" shapeId="0" xr:uid="{467C790A-412E-445B-A929-D848083E3210}">
      <text>
        <r>
          <rPr>
            <sz val="9"/>
            <color indexed="81"/>
            <rFont val="Tahoma"/>
            <family val="2"/>
          </rPr>
          <t xml:space="preserve">Input the # of corresponding units from the "Unit of measure" column associated with the specific measure(s) being submitted. 
</t>
        </r>
      </text>
    </comment>
    <comment ref="H6" authorId="0" shapeId="0" xr:uid="{E246105F-99F6-4611-A803-A240FEDF7BA0}">
      <text>
        <r>
          <rPr>
            <sz val="9"/>
            <color indexed="81"/>
            <rFont val="Tahoma"/>
            <family val="2"/>
          </rPr>
          <t xml:space="preserve">Insert cost of materials per specific line item for all measures you are applying for. </t>
        </r>
      </text>
    </comment>
    <comment ref="K6" authorId="0" shapeId="0" xr:uid="{9CF5D469-4221-48A1-902E-1A42C44BC134}">
      <text>
        <r>
          <rPr>
            <sz val="9"/>
            <color indexed="81"/>
            <rFont val="Tahoma"/>
            <family val="2"/>
          </rPr>
          <t>The total authorized incentive amount awarded will be up to $30,000 for Small C&amp;I, $100,000 for Large C&amp;I or 100% of the total project cost, whichever is less. This value reflects the potential incentive for the measures shown on this tab and does not include a project-level cap. The project-level incentive is provided on the Summary tab.</t>
        </r>
      </text>
    </comment>
    <comment ref="O6" authorId="1" shapeId="0" xr:uid="{5A5ABA42-73A4-4A96-91FD-4B4CDD2B7379}">
      <text>
        <r>
          <rPr>
            <sz val="9"/>
            <color indexed="81"/>
            <rFont val="Tahoma"/>
            <family val="2"/>
          </rPr>
          <t>Net project cost is determined by subtracting the total incentive amount from the total gross project cost. Total net project cost could differ from adding the individual net project costs.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tc={91540729-97D8-4351-93E1-1BC3AF84A1E8}</author>
    <author>tc={839C2C05-0C3D-4F24-BCEB-8ABB03804661}</author>
    <author>tc={670CA734-BD21-4BF6-A3E1-C17FF2881A15}</author>
  </authors>
  <commentList>
    <comment ref="L4" authorId="0" shapeId="0" xr:uid="{91540729-97D8-4351-93E1-1BC3AF84A1E8}">
      <text>
        <t>[Threaded comment]
Your version of Excel allows you to read this threaded comment; however, any edits to it will get removed if the file is opened in a newer version of Excel. Learn more: https://go.microsoft.com/fwlink/?linkid=870924
Comment:
    SEER2</t>
      </text>
    </comment>
    <comment ref="L8" authorId="1" shapeId="0" xr:uid="{839C2C05-0C3D-4F24-BCEB-8ABB03804661}">
      <text>
        <t>[Threaded comment]
Your version of Excel allows you to read this threaded comment; however, any edits to it will get removed if the file is opened in a newer version of Excel. Learn more: https://go.microsoft.com/fwlink/?linkid=870924
Comment:
    SEER2</t>
      </text>
    </comment>
    <comment ref="M8" authorId="2" shapeId="0" xr:uid="{670CA734-BD21-4BF6-A3E1-C17FF2881A15}">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sharedStrings.xml><?xml version="1.0" encoding="utf-8"?>
<sst xmlns="http://schemas.openxmlformats.org/spreadsheetml/2006/main" count="1779" uniqueCount="816">
  <si>
    <t>Instructions</t>
  </si>
  <si>
    <t>Name</t>
  </si>
  <si>
    <t>Enter basic customer and trade ally information on this sheet.</t>
  </si>
  <si>
    <t>Instructions for input fields can be found by highlighting the column headers in each table.</t>
  </si>
  <si>
    <t>Contact the program at entergysolutionsla@entergy.com or 844-829-1300 with any questions.</t>
  </si>
  <si>
    <t>Cells throughout the workbook are generally colored as follows:</t>
  </si>
  <si>
    <t>Gray cells like this one generally cannot be changed by the user.</t>
  </si>
  <si>
    <t>Lodging</t>
  </si>
  <si>
    <t>Rick Berry</t>
  </si>
  <si>
    <t>A/C with Electric Resistance Heat</t>
  </si>
  <si>
    <t>Small Commercial Solutions</t>
  </si>
  <si>
    <t>Project Stage</t>
  </si>
  <si>
    <t>Post-Retrofit</t>
  </si>
  <si>
    <t>For HVAC replacement equipment (A/C units, heat pumps, chillers) to be eligible for Entergy Solutions incentives, an AHRI reference number or documentation from the AHRI Manual to verify the required efficiency level for all systems is required. If the equipment or matched set is not in the AHRI manual, the manufacturer’s technical fact sheets must be provided showing the efficiency level tested under AHRI conditions. Equipment capacity (size) and efficiency must be based on AHRI design conditions. Incentives will be paid based on AHRI rated capacity.</t>
  </si>
  <si>
    <t>www.energystar.gov/products/commercial_food_service_equipment</t>
  </si>
  <si>
    <t>Gross Project Cost</t>
  </si>
  <si>
    <t>$ Savings</t>
  </si>
  <si>
    <t>kW Reduction</t>
  </si>
  <si>
    <t>Net Project Cost</t>
  </si>
  <si>
    <t>Simple Payback (Years)</t>
  </si>
  <si>
    <t>Prescriptive</t>
  </si>
  <si>
    <t>Custom</t>
  </si>
  <si>
    <t>Total</t>
  </si>
  <si>
    <t>Measure Number</t>
  </si>
  <si>
    <t>Category</t>
  </si>
  <si>
    <t>Prescriptive Measure</t>
  </si>
  <si>
    <t>Part Load Efficiency 
(SEER, IEER)</t>
  </si>
  <si>
    <t>Heating Efficiency 
(HSPF)</t>
  </si>
  <si>
    <t>HVAC Units 
Installed</t>
  </si>
  <si>
    <t>Metric</t>
  </si>
  <si>
    <t>Per-Unit Incentive</t>
  </si>
  <si>
    <t>kWh Savings</t>
  </si>
  <si>
    <t>HVAC</t>
  </si>
  <si>
    <t>A/C Unit (5.42 - 11.24 Tons) - Min. efficiency 12.2 EER/14.8 SEER</t>
  </si>
  <si>
    <t>A/C Unit (11.25 - 19.9 Tons) - Min. efficiency 12.2 EER/14.8 SEER</t>
  </si>
  <si>
    <t>Units</t>
  </si>
  <si>
    <t>HVAC Tune Up - Commercial (A/C)</t>
  </si>
  <si>
    <t>HVAC Tune Up - Commercial (Heat Pump)</t>
  </si>
  <si>
    <t>Part Load Efficiency 
(IPLV-kW/ton)</t>
  </si>
  <si>
    <t>Units 
Installed</t>
  </si>
  <si>
    <t>ECM Motors (HVAC)</t>
  </si>
  <si>
    <t xml:space="preserve">Guest Room Energy Management Controls </t>
  </si>
  <si>
    <t>Pre CFM (@25 Pa)</t>
  </si>
  <si>
    <t>Post CFM (@25 Pa)</t>
  </si>
  <si>
    <t>Duct Sealing</t>
  </si>
  <si>
    <t>Case Description</t>
  </si>
  <si>
    <t>Food Service</t>
  </si>
  <si>
    <t>ECM Motors (Refrigeration)</t>
  </si>
  <si>
    <t>Evaporator Fan Controllers (Refrigeration)</t>
  </si>
  <si>
    <t>Anti-Sweat Heater Controls (Refrigeration)</t>
  </si>
  <si>
    <t>Night Cover (Refrigeration)</t>
  </si>
  <si>
    <t>Solid Door Reach-Ins (Refrigeration)</t>
  </si>
  <si>
    <t>Strip Curtains (Refrigeration)</t>
  </si>
  <si>
    <t>High Temp</t>
  </si>
  <si>
    <t>4-Pan</t>
  </si>
  <si>
    <t>Full-Size</t>
  </si>
  <si>
    <t>Ice Making Heads, Continuous Type</t>
  </si>
  <si>
    <t>Building Type</t>
  </si>
  <si>
    <t xml:space="preserve">Low-Flow Sink Aerators - 1.5 GPM or Less - Only Electric Hot Water </t>
  </si>
  <si>
    <t>Hospital, Nursing Home</t>
  </si>
  <si>
    <t xml:space="preserve">Low-Flow Showerhead - 1.75 GPM or Less - Only Electric Hot Water </t>
  </si>
  <si>
    <t>Commercial</t>
  </si>
  <si>
    <t xml:space="preserve">Pre-Rinse Spray Valves - 1.28 GPM or Less - Only Electric Hot Water </t>
  </si>
  <si>
    <t>N/A</t>
  </si>
  <si>
    <t>Miscellaneous</t>
  </si>
  <si>
    <t>Advanced Power Strip</t>
  </si>
  <si>
    <t>PC Power Management</t>
  </si>
  <si>
    <t>Peak Demand Savings (kW)</t>
  </si>
  <si>
    <t>Project Name</t>
  </si>
  <si>
    <t xml:space="preserve">Provide a custom project name to help identify your specific project. </t>
  </si>
  <si>
    <t>Annual Energy Savings (kWh)</t>
  </si>
  <si>
    <t>Retrofit or New Construction?</t>
  </si>
  <si>
    <t>Select from the provided drop down list.</t>
  </si>
  <si>
    <t>Annual Energy Cost Savings ($)</t>
  </si>
  <si>
    <t>Project Classification</t>
  </si>
  <si>
    <t>Select the most appropriate project type from the provided drop down list. If "Other" is selected, provide detailed descriptions in the following 3 input fields below.</t>
  </si>
  <si>
    <t>Total Project Cost (Equipment + Installation)</t>
  </si>
  <si>
    <t>Basic Project Description</t>
  </si>
  <si>
    <t>Provide a written summary of the project and the objectives of the project.</t>
  </si>
  <si>
    <t>Summary of Existing Conditions</t>
  </si>
  <si>
    <t>Provide a summary of the existing conditions.  Include a detailed description of all relevant equipment and all operational details.</t>
  </si>
  <si>
    <t>Simple Electric Payback (years)</t>
  </si>
  <si>
    <t>Summary of Proposed Changes</t>
  </si>
  <si>
    <t>Provide a summary of the proposed conditions following project implementation.  Include a detailed description of all relevant equipment and all operational details.</t>
  </si>
  <si>
    <t>Location within Facility</t>
  </si>
  <si>
    <t>Identify where in your facility the proposed project is being incorporated, as specific as possible.</t>
  </si>
  <si>
    <t>Location Conditioned? (Y/N)</t>
  </si>
  <si>
    <t xml:space="preserve">Is the project location a conditioned or unconditioned space (heating and/or air conditioning)? </t>
  </si>
  <si>
    <t>Existing Peak Demand (kW)</t>
  </si>
  <si>
    <r>
      <t xml:space="preserve">Input the existing peak electrical demand (kW) pertaining specifically to the existing equipment/system(s) for the custom project. </t>
    </r>
    <r>
      <rPr>
        <b/>
        <sz val="10"/>
        <color indexed="8"/>
        <rFont val="Arial"/>
        <family val="2"/>
      </rPr>
      <t>Detailed spreadsheet or other engineering calculations that are normalized for weather using BIN data are required to be provided as an attachment along with this application.</t>
    </r>
  </si>
  <si>
    <t>Proposed Peak Demand (kW)</t>
  </si>
  <si>
    <r>
      <t xml:space="preserve">Input the proposed peak electrical demand (kW) pertaining specifically to the proposed equipment/system(s) for the custom project. </t>
    </r>
    <r>
      <rPr>
        <b/>
        <sz val="10"/>
        <color indexed="8"/>
        <rFont val="Arial"/>
        <family val="2"/>
      </rPr>
      <t>Detailed spreadsheet or other engineering calculations that are normalized for weather using BIN data are required to be provided as an attachment along with this application.</t>
    </r>
  </si>
  <si>
    <t>Existing Energy Consumption (kWh/yr)</t>
  </si>
  <si>
    <r>
      <t xml:space="preserve">Input the existing annual electrical energy consumption (kWh) pertaining specifically to the existing equipment/system(s) for the custom project. </t>
    </r>
    <r>
      <rPr>
        <b/>
        <sz val="10"/>
        <color indexed="8"/>
        <rFont val="Arial"/>
        <family val="2"/>
      </rPr>
      <t>Detailed spreadsheet or other engineering calculations that are normalized for weather using BIN data are required to be provided as an attachment along with this application.</t>
    </r>
  </si>
  <si>
    <t>Proposed Energy Consumption (kWh/yr)</t>
  </si>
  <si>
    <r>
      <t xml:space="preserve">Input the proposed annual electrical energy consumption (kWh) pertaining specifically to the proposed equipment/system(s) for the custom project. </t>
    </r>
    <r>
      <rPr>
        <b/>
        <sz val="10"/>
        <color indexed="8"/>
        <rFont val="Arial"/>
        <family val="2"/>
      </rPr>
      <t>Detailed spreadsheet or other engineering calculations that are normalized for weather using BIN data are required to be provided as an attachment along with this application.</t>
    </r>
  </si>
  <si>
    <t>Project Cost ($)</t>
  </si>
  <si>
    <t>Includes equipment/materials as well as external installation/labor. Attach a copy of a formal proposal with the projected project costs.  For new construction projects, a formal proposal is also required with the projected costs for the light fixture(s) that would meet the building code in your location.</t>
  </si>
  <si>
    <t>Project ID Number</t>
  </si>
  <si>
    <t>Include Snips of Documentation (Business Type, Invoice, specs)</t>
  </si>
  <si>
    <t>Annual Usage from APTracks (kWh)</t>
  </si>
  <si>
    <t>Savings as a % of the Annual Usage</t>
  </si>
  <si>
    <t>QC Checklist</t>
  </si>
  <si>
    <t>Advisor Review</t>
  </si>
  <si>
    <t>Engineering Review</t>
  </si>
  <si>
    <t>Is the building type accurate?</t>
  </si>
  <si>
    <t>Do the spec sheet model #s match the invoices/proposals?</t>
  </si>
  <si>
    <t>Do the quantities in the calculation match the invoices/proposals?</t>
  </si>
  <si>
    <t>Are supporting snips provided (see right)?</t>
  </si>
  <si>
    <t>Have snips been provided to prove that it meets program criteria?</t>
  </si>
  <si>
    <t>Review and update the Entergy Solutions incentive calculator to the project's final scope.</t>
  </si>
  <si>
    <t xml:space="preserve">Attention to: </t>
  </si>
  <si>
    <t xml:space="preserve">Sign and date below. A typewritten signature is acceptable and will have the same effect as a pen signature. </t>
  </si>
  <si>
    <t>Customer's Signature:</t>
  </si>
  <si>
    <t>□ Updated Entergy Solutions incentive calculator (please also indicate any changes to the project scope in the email).</t>
  </si>
  <si>
    <t xml:space="preserve">□ Copies of itemized material invoices and labor/install invoices for the entire project. </t>
  </si>
  <si>
    <t>Aptracks Terminology</t>
  </si>
  <si>
    <t>Measure Catalog Template</t>
  </si>
  <si>
    <t>Override Measure Values</t>
  </si>
  <si>
    <t>kWh</t>
  </si>
  <si>
    <t>kW</t>
  </si>
  <si>
    <t>Incentive</t>
  </si>
  <si>
    <t>Equipment Cost</t>
  </si>
  <si>
    <t>Install Cost</t>
  </si>
  <si>
    <t>Operating Hours</t>
  </si>
  <si>
    <t>Watts Base</t>
  </si>
  <si>
    <t>Watts Eff</t>
  </si>
  <si>
    <t>Tab</t>
  </si>
  <si>
    <t>Import?</t>
  </si>
  <si>
    <t>Project Number</t>
  </si>
  <si>
    <t>Override?</t>
  </si>
  <si>
    <t>kW Savings</t>
  </si>
  <si>
    <t>Existing Fixture Wattage</t>
  </si>
  <si>
    <t>Proposed Fixture Wattage</t>
  </si>
  <si>
    <t>Measure Description</t>
  </si>
  <si>
    <t>Refrigeration</t>
  </si>
  <si>
    <t>General</t>
  </si>
  <si>
    <t>Misc (Low Flow)</t>
  </si>
  <si>
    <t>Program Names</t>
  </si>
  <si>
    <t>Baseline</t>
  </si>
  <si>
    <t>Efficient (Requirement)</t>
  </si>
  <si>
    <t>Refrigeration Application</t>
  </si>
  <si>
    <t>Low Temp</t>
  </si>
  <si>
    <t>Aerator Building Types</t>
  </si>
  <si>
    <t>Custom Project Types</t>
  </si>
  <si>
    <t>Equipment Type</t>
  </si>
  <si>
    <t>Min EER</t>
  </si>
  <si>
    <t>Min SEER/IEER</t>
  </si>
  <si>
    <t>Min Htg Eff. (HSPF)</t>
  </si>
  <si>
    <t>Cooler (medium-temp.)</t>
  </si>
  <si>
    <t>Electric/Electric</t>
  </si>
  <si>
    <t>Electric/No Booster</t>
  </si>
  <si>
    <t>Prison</t>
  </si>
  <si>
    <t>Retrofit</t>
  </si>
  <si>
    <t>Large Commercial &amp; Industrial Solutions</t>
  </si>
  <si>
    <t>Freezer (low temp.)</t>
  </si>
  <si>
    <t>Gas/Electric</t>
  </si>
  <si>
    <t>New Construction</t>
  </si>
  <si>
    <t>Dormitory</t>
  </si>
  <si>
    <t>Measure Name</t>
  </si>
  <si>
    <t>Incentive - SC</t>
  </si>
  <si>
    <t>Incentive - LC</t>
  </si>
  <si>
    <t>Type</t>
  </si>
  <si>
    <t>Case Type</t>
  </si>
  <si>
    <t>Convection Oven Size</t>
  </si>
  <si>
    <t>Multifamily</t>
  </si>
  <si>
    <t>Custom Project Classification</t>
  </si>
  <si>
    <t>Ton</t>
  </si>
  <si>
    <t xml:space="preserve">Vertical Open, Remote Condensing </t>
  </si>
  <si>
    <t>Half-Size</t>
  </si>
  <si>
    <t>VFD's/Motors</t>
  </si>
  <si>
    <t>Vertical Open, Self-Contained</t>
  </si>
  <si>
    <t>Fans/Pumps</t>
  </si>
  <si>
    <t>Semivertical Open, Remote Condensing</t>
  </si>
  <si>
    <t>School</t>
  </si>
  <si>
    <t>HVAC - DX, Packaged/Rooftop Units</t>
  </si>
  <si>
    <t>Semivertical Open, Self-Contained</t>
  </si>
  <si>
    <t>Other</t>
  </si>
  <si>
    <t>HVAC - Chillers</t>
  </si>
  <si>
    <t>Horizontal Open, Remote Condensing</t>
  </si>
  <si>
    <t>Compressed Air</t>
  </si>
  <si>
    <t>Horizontal Open, Self-Contained</t>
  </si>
  <si>
    <t>PRSV Building Types</t>
  </si>
  <si>
    <t>Process Cooling</t>
  </si>
  <si>
    <t>EFLHc</t>
  </si>
  <si>
    <t>EFLHh</t>
  </si>
  <si>
    <t>CF</t>
  </si>
  <si>
    <t>Fast Food</t>
  </si>
  <si>
    <t xml:space="preserve">Process Heating </t>
  </si>
  <si>
    <t>Assembly</t>
  </si>
  <si>
    <t>Strips Building</t>
  </si>
  <si>
    <t>Casual Dining</t>
  </si>
  <si>
    <t xml:space="preserve">Process Heat Recovery </t>
  </si>
  <si>
    <t>Room</t>
  </si>
  <si>
    <t>Supermarket</t>
  </si>
  <si>
    <t>Institutional</t>
  </si>
  <si>
    <t>Building Automation System</t>
  </si>
  <si>
    <t>Grocery</t>
  </si>
  <si>
    <t>Convenience Store</t>
  </si>
  <si>
    <t>Other (describe)</t>
  </si>
  <si>
    <t>Health Clinic</t>
  </si>
  <si>
    <t>Restaurant</t>
  </si>
  <si>
    <t>K-12 School</t>
  </si>
  <si>
    <t>CFM Reduced</t>
  </si>
  <si>
    <t>Office</t>
  </si>
  <si>
    <t>Refrigerated Warehouse</t>
  </si>
  <si>
    <t>Full Menu Restaurant</t>
  </si>
  <si>
    <t>Refrigerators Size</t>
  </si>
  <si>
    <t>Showerhead Building Types</t>
  </si>
  <si>
    <t>Religious Worship</t>
  </si>
  <si>
    <t>0 - 15 cu. ft.</t>
  </si>
  <si>
    <t>Hospital</t>
  </si>
  <si>
    <t>Retail</t>
  </si>
  <si>
    <t>15 - 30 cu. ft</t>
  </si>
  <si>
    <t>30 - 50 cu. ft.</t>
  </si>
  <si>
    <t>University</t>
  </si>
  <si>
    <r>
      <rPr>
        <sz val="11"/>
        <color theme="1"/>
        <rFont val="Calibri"/>
        <family val="2"/>
      </rPr>
      <t xml:space="preserve">≥ </t>
    </r>
    <r>
      <rPr>
        <sz val="11"/>
        <color theme="1"/>
        <rFont val="Calibri"/>
        <family val="2"/>
        <scheme val="minor"/>
      </rPr>
      <t>50 cu. ft.</t>
    </r>
  </si>
  <si>
    <t>Fitness Center</t>
  </si>
  <si>
    <t>All Other</t>
  </si>
  <si>
    <t>Refrigerator</t>
  </si>
  <si>
    <t>Fan</t>
  </si>
  <si>
    <t>Freezer</t>
  </si>
  <si>
    <t>Food Service/Retail/Refrigeration</t>
  </si>
  <si>
    <t>Strip Curtain Types</t>
  </si>
  <si>
    <t>Linear Ft.</t>
  </si>
  <si>
    <t>Supermarket – Cooler</t>
  </si>
  <si>
    <t>Supermarket – Freezer</t>
  </si>
  <si>
    <t>Unit</t>
  </si>
  <si>
    <t>Convenience Store - Cooler</t>
  </si>
  <si>
    <t>Sq.Ft.</t>
  </si>
  <si>
    <t>FL kW/ton</t>
  </si>
  <si>
    <t>IPLV kW/ton</t>
  </si>
  <si>
    <t>Convenience Store - Freezer</t>
  </si>
  <si>
    <t>Commercial Kitchen</t>
  </si>
  <si>
    <t>Restaurant – Cooler</t>
  </si>
  <si>
    <t>Restaurant - Freezer</t>
  </si>
  <si>
    <t>Strip Curtains (baseline)</t>
  </si>
  <si>
    <t>Yes</t>
  </si>
  <si>
    <t>No</t>
  </si>
  <si>
    <t>Unknown</t>
  </si>
  <si>
    <t>Aerator</t>
  </si>
  <si>
    <t>Water Fixture</t>
  </si>
  <si>
    <t>Spray Valve</t>
  </si>
  <si>
    <t>Showerhead</t>
  </si>
  <si>
    <t>Strip</t>
  </si>
  <si>
    <t>PC</t>
  </si>
  <si>
    <t>Misc. (Low Flow)</t>
  </si>
  <si>
    <t>Misc. (Plug Load Control)</t>
  </si>
  <si>
    <t>kWh/unit</t>
  </si>
  <si>
    <t>kW/unit</t>
  </si>
  <si>
    <t>ECM Fan (Refr.) Savings</t>
  </si>
  <si>
    <t>Concat Name</t>
  </si>
  <si>
    <t>Water Temp</t>
  </si>
  <si>
    <t>Heater/Booster Fuel</t>
  </si>
  <si>
    <t>Aerator Savings (Building Type)</t>
  </si>
  <si>
    <t>Variable</t>
  </si>
  <si>
    <t>Description</t>
  </si>
  <si>
    <t>Value</t>
  </si>
  <si>
    <t>Notes</t>
  </si>
  <si>
    <t>F_B</t>
  </si>
  <si>
    <t>Baseline GPM</t>
  </si>
  <si>
    <t>GPM</t>
  </si>
  <si>
    <t>F_P</t>
  </si>
  <si>
    <t>Post GPM</t>
  </si>
  <si>
    <t>Gas/Gas</t>
  </si>
  <si>
    <t>Days/year</t>
  </si>
  <si>
    <t>Operating hours</t>
  </si>
  <si>
    <t>Days</t>
  </si>
  <si>
    <t>average of all types</t>
  </si>
  <si>
    <t>Evap. Fan Controller Savings</t>
  </si>
  <si>
    <t>APS Savings (Program)</t>
  </si>
  <si>
    <t>Application</t>
  </si>
  <si>
    <t>Gas/No Booster</t>
  </si>
  <si>
    <t>Heat Pump Savings</t>
  </si>
  <si>
    <t>kWh_clg</t>
  </si>
  <si>
    <t>kWh_htg</t>
  </si>
  <si>
    <t>kWh_total/unit</t>
  </si>
  <si>
    <t>Small Business</t>
  </si>
  <si>
    <t>Cooler (high-temp.)</t>
  </si>
  <si>
    <t>PC Power Management (Controlled Device)</t>
  </si>
  <si>
    <t>ASHC Savings</t>
  </si>
  <si>
    <t>kWh/lf</t>
  </si>
  <si>
    <t>kW/lf</t>
  </si>
  <si>
    <t>LCD Monitor</t>
  </si>
  <si>
    <t>Desktop Computer</t>
  </si>
  <si>
    <t>T_H</t>
  </si>
  <si>
    <t>Mixed Water Temp</t>
  </si>
  <si>
    <t>F</t>
  </si>
  <si>
    <t>Notebook (including display)</t>
  </si>
  <si>
    <t>ACTU / HPTU Pump Savings</t>
  </si>
  <si>
    <t>kWh_total</t>
  </si>
  <si>
    <t>T_supply</t>
  </si>
  <si>
    <t>Cold water supply temp</t>
  </si>
  <si>
    <t>average of 3, 4, 5</t>
  </si>
  <si>
    <t>Zone 3 - New Orleans</t>
  </si>
  <si>
    <t>Night Cover Savings</t>
  </si>
  <si>
    <t>Zone 4 - Baton Rouge</t>
  </si>
  <si>
    <t>Vertical Open, Remote Condensing , Medium-temp</t>
  </si>
  <si>
    <t>Zone 5 - Alexandria</t>
  </si>
  <si>
    <t>Vertical Open, Remote Condensing , Low-temp</t>
  </si>
  <si>
    <t>Zone 6 - Schreveport</t>
  </si>
  <si>
    <t>Vertical Open, Self-Contained, Medium-temp</t>
  </si>
  <si>
    <t>U</t>
  </si>
  <si>
    <t>Water Usage</t>
  </si>
  <si>
    <t>Semivertical Open, Remote Condensing, Medium-temp</t>
  </si>
  <si>
    <t>min/day/unit</t>
  </si>
  <si>
    <t>Semivertical Open, Self-Contained, Medium-temp</t>
  </si>
  <si>
    <t>Horizontal Open, Remote Condensing, Medium-temp</t>
  </si>
  <si>
    <t>Horizontal Open, Remote Condensing, Low-temp</t>
  </si>
  <si>
    <t>Horizontal Open, Self-Contained, Medium-temp</t>
  </si>
  <si>
    <t>Horizontal Open, Self-Contained, Low-temp</t>
  </si>
  <si>
    <t>Night Cover Savings (Concat Name)</t>
  </si>
  <si>
    <t>Size</t>
  </si>
  <si>
    <t>ρ</t>
  </si>
  <si>
    <t>pounds/gallon water</t>
  </si>
  <si>
    <t>pounds/gal</t>
  </si>
  <si>
    <t>Convection Oven Savings (Size)</t>
  </si>
  <si>
    <t>C_p</t>
  </si>
  <si>
    <t>heat capacity</t>
  </si>
  <si>
    <t>btu/lb-F</t>
  </si>
  <si>
    <t>ECM Fan (HVAC) Savings</t>
  </si>
  <si>
    <t>E_t</t>
  </si>
  <si>
    <t>thermal efficiency</t>
  </si>
  <si>
    <t>selected elec resistance</t>
  </si>
  <si>
    <t>electric resistance</t>
  </si>
  <si>
    <t>≥ 50 cu. ft.</t>
  </si>
  <si>
    <t>heat pump</t>
  </si>
  <si>
    <t>from v7</t>
  </si>
  <si>
    <t>GREM Savings</t>
  </si>
  <si>
    <t>P</t>
  </si>
  <si>
    <t>Hourly water consumption during peak as fraction of daily consumption</t>
  </si>
  <si>
    <t>Combination Oven Savings (Size)</t>
  </si>
  <si>
    <t>Duct Sealing Savings</t>
  </si>
  <si>
    <t>kWh/CFM</t>
  </si>
  <si>
    <t>kW/CFM</t>
  </si>
  <si>
    <t>Strip Curtain Savings (Concat Name)</t>
  </si>
  <si>
    <t>Pre-Existing Curtains</t>
  </si>
  <si>
    <t>kWh/sf</t>
  </si>
  <si>
    <t>kW/sf</t>
  </si>
  <si>
    <t>Steam Cooker (Size)</t>
  </si>
  <si>
    <t>3-Pan</t>
  </si>
  <si>
    <t>5-Pan</t>
  </si>
  <si>
    <t>6-Pan</t>
  </si>
  <si>
    <t>PRSV Savings (Building Type)</t>
  </si>
  <si>
    <t>Ice Making Heads, Batch Type</t>
  </si>
  <si>
    <t>Remote Condensing Units, Batch Type</t>
  </si>
  <si>
    <t>Remote Condensing Units, Continuous Type</t>
  </si>
  <si>
    <t>Self-Contained Units, Batch Type</t>
  </si>
  <si>
    <t>Restaurant - Cooler</t>
  </si>
  <si>
    <t>Self-Contained Units, Continuous Type</t>
  </si>
  <si>
    <t>average 3, 4, 5</t>
  </si>
  <si>
    <t>U_B</t>
  </si>
  <si>
    <t>gas</t>
  </si>
  <si>
    <t>Showerhead Savings (Building Type)</t>
  </si>
  <si>
    <t>shower duration</t>
  </si>
  <si>
    <t>min/shower</t>
  </si>
  <si>
    <t>N</t>
  </si>
  <si>
    <t>showers per day per showerhead</t>
  </si>
  <si>
    <t>shower/day/showerhead</t>
  </si>
  <si>
    <t>selected commercial</t>
  </si>
  <si>
    <t>Q_B</t>
  </si>
  <si>
    <t>Q_P</t>
  </si>
  <si>
    <t>F_HW</t>
  </si>
  <si>
    <t>Share of water from water heater</t>
  </si>
  <si>
    <t>104.4 as delivered temp</t>
  </si>
  <si>
    <t>T_HW</t>
  </si>
  <si>
    <t>Temp of water heated by DWH heater</t>
  </si>
  <si>
    <t>Days/Year</t>
  </si>
  <si>
    <t>Annual operating days</t>
  </si>
  <si>
    <t>days</t>
  </si>
  <si>
    <t>Peak Factor</t>
  </si>
  <si>
    <t>SELECT AC MEASURE FROM DROPDOWN</t>
  </si>
  <si>
    <t>SELECT HP MEASURE FROM DROPDOWN</t>
  </si>
  <si>
    <t>Incentive Review</t>
  </si>
  <si>
    <t>Project Cost</t>
  </si>
  <si>
    <t>Ratio: Incentive / $25K Cap</t>
  </si>
  <si>
    <t>Ratio: Incentive / Project Cost</t>
  </si>
  <si>
    <t>Index</t>
  </si>
  <si>
    <t>File Version</t>
  </si>
  <si>
    <t>Change</t>
  </si>
  <si>
    <t>Date</t>
  </si>
  <si>
    <t>Person</t>
  </si>
  <si>
    <t>Calculation Overhaul</t>
  </si>
  <si>
    <t>Calculator Version</t>
  </si>
  <si>
    <t>Pre-Retrofit</t>
  </si>
  <si>
    <t>HVAC Description</t>
  </si>
  <si>
    <t>A/C with Gas Heat</t>
  </si>
  <si>
    <t>A/C with Heat Pump</t>
  </si>
  <si>
    <t>A/C with No/Unknown Heat</t>
  </si>
  <si>
    <t>Refrigerated Space - Med. Temp (33-41°F)</t>
  </si>
  <si>
    <t>Refrigerated Space - Low Temp (-10-10°F)</t>
  </si>
  <si>
    <t>Unconditioned</t>
  </si>
  <si>
    <t>Air Conditioner</t>
  </si>
  <si>
    <t>Heat Pump</t>
  </si>
  <si>
    <t>Tune-Up</t>
  </si>
  <si>
    <t>Chiller</t>
  </si>
  <si>
    <t>Dishwasher</t>
  </si>
  <si>
    <t>Low-Flow</t>
  </si>
  <si>
    <t>Plug Load</t>
  </si>
  <si>
    <t>Misc.</t>
  </si>
  <si>
    <t>202725-HVAC-Demand Control Ventilation Replacing No Existing Equipment or Failed Equipment</t>
  </si>
  <si>
    <t>202730-HVAC-Demand Control Ventilation Replacing Existing Equipment</t>
  </si>
  <si>
    <t>202825-HVAC-HVAC Controls / EMS Replacing No Existing Equipment or Failed Equipment</t>
  </si>
  <si>
    <t>202830-HVAC-HVAC Controls / EMS Replacing Existing Equipment</t>
  </si>
  <si>
    <t>202925-HVAC-Advanced RTU Compressor Controller Replacing No Existing Equipment or Failed Equipment</t>
  </si>
  <si>
    <t>202930-HVAC-Advanced RTU Compressor Controller Replacing Existing Equipment</t>
  </si>
  <si>
    <t>203025-HVAC-Air Cooled Chiller Replacing No Existing Equipment or Failed Equipment</t>
  </si>
  <si>
    <t>203030-HVAC-Air Cooled Chiller Replacing Existing Equipment</t>
  </si>
  <si>
    <t>203125-HVAC-Water Cooled Chiller Replacing No Existing Equipment or Failed Equipment</t>
  </si>
  <si>
    <t>203130-HVAC-Water Cooled Chiller Replacing Existing Equipment</t>
  </si>
  <si>
    <t>203225-HVAC-Cooling Only HVAC Equipment Replacing No Existing Equipment or Failed Equipment</t>
  </si>
  <si>
    <t>203230-HVAC-Cooling Only HVAC Equipment Replacing Existing Equipment</t>
  </si>
  <si>
    <t>203325-HVAC-Packaged / Rooftop Unit Replacing No Existing Equipment or Failed Equipment</t>
  </si>
  <si>
    <t>203330-HVAC-Packaged / Rooftop Unit Replacing Existing Equipment</t>
  </si>
  <si>
    <t>203425-HVAC-Chiller Control Optimization Replacing No Existing Equipment or Failed Equipment</t>
  </si>
  <si>
    <t>203430-HVAC-Chiller Control Optimization Replacing Existing Equipment</t>
  </si>
  <si>
    <t>203525-HVAC-VFD for Chiller Replacing No Existing Equipment or Failed Equipment</t>
  </si>
  <si>
    <t>203625-HVAC-VFD for Fan Replacing No Existing Equipment or Failed Equipment</t>
  </si>
  <si>
    <t>203725-HVAC-PTAC Unit Replacing No Existing Equipment or Failed Equipment</t>
  </si>
  <si>
    <t>203730-HVAC-PTAC Unit Replacing Existing Equipment</t>
  </si>
  <si>
    <t>203825-HVAC-CRAC Unit Replacing No Existing Equipment or Failed Equipment</t>
  </si>
  <si>
    <t>203830-HVAC-CRAC Unit Replacing Existing Equipment</t>
  </si>
  <si>
    <t>203925-HVAC-Ground Source Heat Pump Replacing No Existing Equipment or Failed Equipment</t>
  </si>
  <si>
    <t>203930-HVAC-Ground Source Heat Pump Replacing Existing Equipment</t>
  </si>
  <si>
    <t>204025-HVAC-Water Loop Heat Pump Replacing No Existing Equipment or Failed Equipment</t>
  </si>
  <si>
    <t>204030-HVAC-Water Loop Heat Pump Replacing Existing Equipment</t>
  </si>
  <si>
    <t>204125-HVAC-ECM Motor for HVAC Replacing No Existing Equipment or Failed Equipment</t>
  </si>
  <si>
    <t>204130-HVAC-ECM Motor for HVAC Replacing Existing Equipment</t>
  </si>
  <si>
    <t>217130-Ventilation-Efficient Circulation Fans Replacing Existing Equipment</t>
  </si>
  <si>
    <t>217230-Ventilation-Efficient Ventilation/Exhaust Fans Replacing Existing Equipment</t>
  </si>
  <si>
    <t>217330-Ventilation-High-Volume-Low-Speed (HVLS) Fans Replacing Existing Equipment</t>
  </si>
  <si>
    <t>304925-Cooking-Commercial Cooker Replacing No Existing Equipment or Failed Equipment</t>
  </si>
  <si>
    <t>304930-Cooking-Commercial Cooker Replacing Existing Equipment</t>
  </si>
  <si>
    <t>305025-Cooking-Commercial Fryer Replacing No Existing Equipment or Failed Equipment</t>
  </si>
  <si>
    <t>305030-Cooking-Commercial Fryer Replacing Existing Equipment</t>
  </si>
  <si>
    <t>305125-Cooking-Commercial Range Hood Replacing No Existing Equipment or Failed Equipment</t>
  </si>
  <si>
    <t>305130-Cooking-Commercial Range Hood Replacing Existing Equipment</t>
  </si>
  <si>
    <t>305225-Cooking-Commercial Steamer Replacing No Existing Equipment or Failed Equipment</t>
  </si>
  <si>
    <t>305230-Cooking-Commercial Steamer Replacing Existing Equipment</t>
  </si>
  <si>
    <t>305325-Cooking-Hot Food Holding Cabinent Replacing No Existing Equipment or Failed Equipment</t>
  </si>
  <si>
    <t>305330-Cooking-Hot Food Holding Cabinent Replacing Existing Equipment</t>
  </si>
  <si>
    <t>407025-Refrigeration-ECM Motor for Refrigeration Replacing No Existing Equipment or Failed Equipment</t>
  </si>
  <si>
    <t>407125-Refrigeration-Commercial Freezer Replacing No Existing Equipment or Failed Equipment</t>
  </si>
  <si>
    <t>407130-Refrigeration-Commercial Freezer Replacing Existing Equipment</t>
  </si>
  <si>
    <t>407225-Refrigeration-Commercial Refrigerator Replacing No Existing Equipment or Failed Equipment</t>
  </si>
  <si>
    <t>407230-Refrigeration-Commercial Refrigerator Replacing Existing Equipment</t>
  </si>
  <si>
    <t>407425-Refrigeration-Freezer Insulation Replacing No Existing Equipment or Failed Equipment</t>
  </si>
  <si>
    <t>407430-Refrigeration-Freezer Insulation Replacing Existing Equipment</t>
  </si>
  <si>
    <t>407525-Refrigeration-Refrigeration Insulation Replacing No Existing Equipment or Failed Equipment</t>
  </si>
  <si>
    <t>407530-Refrigeration-Refrigeration Insulation Replacing Existing Equipment</t>
  </si>
  <si>
    <t>407625-Refrigeration-Controls Replacing No Existing Equipment or Failed Equipment</t>
  </si>
  <si>
    <t>407630-Refrigeration-Controls Replacing Existing Equipment</t>
  </si>
  <si>
    <t>424830-Refrigeration-Door Gaskets - Coolers (Refrigeration)</t>
  </si>
  <si>
    <t>424930-Refrigeration-Door Gaskets - Freezers (Refrigeration)</t>
  </si>
  <si>
    <t>425030-Refrigeration-Auto Door-Closers - Coolers (Refrigeration)</t>
  </si>
  <si>
    <t>425130-Refrigeration-Auto Door-Closers - Freezers (Refrigeration)</t>
  </si>
  <si>
    <t>505425-Water Heating-Heat Pump Pool Heater Replacing No Existing Equipment or Failed Equipment</t>
  </si>
  <si>
    <t>505430-Water Heating-Heat Pump Pool Heater Replacing Existing Equipment</t>
  </si>
  <si>
    <t>505525-Water Heating-Heat Pump Water Heater Replacing No Existing Equipment or Failed Equipment</t>
  </si>
  <si>
    <t>505530-Water Heating-Heat Pump Water Heater Replacing Existing Equipment</t>
  </si>
  <si>
    <t>606225-Motors-Efficient Motor Replacing No Existing Equipment or Failed Equipment</t>
  </si>
  <si>
    <t>606230-Motors-Efficient Motor Replacing Existing Equipment</t>
  </si>
  <si>
    <t>606325-Motors-Efficient Pumps Replacing No Existing Equipment or Failed Equipment</t>
  </si>
  <si>
    <t>606330-Motors-Efficient Pumps Replacing Existing Equipment</t>
  </si>
  <si>
    <t>606415-Motors-Grain Bin Aeration Controls</t>
  </si>
  <si>
    <t>606525-Motors-VFD for Pump Replacing No Existing Equipment or Failed Equipment</t>
  </si>
  <si>
    <t>606730-Motors-Low Pressure Irrigation</t>
  </si>
  <si>
    <t>606825-Motors-VFD for Process Motor Replacing No Existing Equipment or Failed Equipment</t>
  </si>
  <si>
    <t>606830-Motors-Potato/Onion Shed Variable Frequency Drive Ventilation Fan</t>
  </si>
  <si>
    <t>606930-Motors-Temperature Based On/Off Livestock Ventilation Controller</t>
  </si>
  <si>
    <t>705625-Compressed Air-Efficient Air Compressor Replacing No Existing Equipment or Failed Equipment</t>
  </si>
  <si>
    <t>705630-Compressed Air-Efficient Air Compressor Replacing Existing Equipment</t>
  </si>
  <si>
    <t>705725-Compressed Air-Compressed Air Optimization Replacing No Existing Equipment or Failed Equipment</t>
  </si>
  <si>
    <t>705730-Compressed Air-Compressed Air Optimization Replacing Existing Equipment</t>
  </si>
  <si>
    <t>705825-Compressed Air-VFD for Air Compressor Replacing No Existing Equipment or Failed Equipment</t>
  </si>
  <si>
    <t>705830-Compressed Air-VFD for Air Compressor Replacing Existing Equipment</t>
  </si>
  <si>
    <t>706125-Compressed Air-Compressed Air Engineered Nozzle Replacing No Existing Equipment or Failed Equipment</t>
  </si>
  <si>
    <t>706130-Compressed Air-Compressed Air Engineered Nozzle Replacing Existing Equipment</t>
  </si>
  <si>
    <t>804225-Building Shell-Efficient Wall Insulation Replacing No Existing Equipment or Failed Equipment</t>
  </si>
  <si>
    <t>804230-Building Shell-Efficient Wall Insulation Replacing Existing Insulation</t>
  </si>
  <si>
    <t>804325-Building Shell-Efficient Window Film Replacing No Existing Window Film or Failed Window Film</t>
  </si>
  <si>
    <t>804425-Building Shell-Efficient Window Replacing No Existing Window or Failed Window</t>
  </si>
  <si>
    <t>804430-Building Shell-Efficient Window Replacing Existing Window</t>
  </si>
  <si>
    <t>906630-Miscellaneous-ENERGY STAR Dehumidifier for Indoor Agriculture</t>
  </si>
  <si>
    <t>907430-Miscellaneous-Efficient Custom Agriculture Equipment Replacing Existing Equipment</t>
  </si>
  <si>
    <t>915925-Process-Optimizing Process Cooling Replacing No Existing Equipment or Failed Equipment</t>
  </si>
  <si>
    <t>915930-Process-Optimizing Process Cooling Replacing Existing Equipment</t>
  </si>
  <si>
    <t>916025-Process-Optimizing Process Heating Replacing No Existing Equipment or Failed Equipment</t>
  </si>
  <si>
    <t>916030-Process-Optimizing Process Heating Replacing Existing Equipment</t>
  </si>
  <si>
    <t>Uncapped Incentive</t>
  </si>
  <si>
    <t>Automated Checks</t>
  </si>
  <si>
    <t>Summary kWh = Export kWh</t>
  </si>
  <si>
    <t>Summary Incentives = Export Incentives</t>
  </si>
  <si>
    <t>Summary Costs = Export Costs</t>
  </si>
  <si>
    <t>Summary Other Costs = Export Install Costs</t>
  </si>
  <si>
    <t>Uncapped Incentive 
(Capped value appears on Summary tab)</t>
  </si>
  <si>
    <t>NA</t>
  </si>
  <si>
    <t>Non-Lighting 2022 - v1.0</t>
  </si>
  <si>
    <t>AC Savings</t>
  </si>
  <si>
    <t>Do the measures meet program criteria?</t>
  </si>
  <si>
    <t>City</t>
  </si>
  <si>
    <t>State</t>
  </si>
  <si>
    <t>ZIP</t>
  </si>
  <si>
    <t>Questions</t>
  </si>
  <si>
    <t>If Entergy Solutions has a question, we should contact:</t>
  </si>
  <si>
    <t>Contact:</t>
  </si>
  <si>
    <t>Bill Insert</t>
  </si>
  <si>
    <t>Event/Trade Show</t>
  </si>
  <si>
    <t>Direct Mail</t>
  </si>
  <si>
    <t>Search Engine</t>
  </si>
  <si>
    <t>Project Type</t>
  </si>
  <si>
    <t>Social Media</t>
  </si>
  <si>
    <t>Property Type</t>
  </si>
  <si>
    <t>Calling Campaign</t>
  </si>
  <si>
    <t>Utility Website</t>
  </si>
  <si>
    <t>Water Heating System</t>
  </si>
  <si>
    <t>Other:</t>
  </si>
  <si>
    <t>Ownership</t>
  </si>
  <si>
    <t>Entergy Louisiana electric bills</t>
  </si>
  <si>
    <t>Payable To:</t>
  </si>
  <si>
    <t>Project proposal</t>
  </si>
  <si>
    <t>Attn To:</t>
  </si>
  <si>
    <t>Building Heating and Cooling System</t>
  </si>
  <si>
    <t>Trade Ally/Contractor</t>
  </si>
  <si>
    <t>Customer</t>
  </si>
  <si>
    <t>Addition/Expansion of Existing Building</t>
  </si>
  <si>
    <t>Assembly/Entertainment/Recreation</t>
  </si>
  <si>
    <t>AC w/ Electric Resistance Heat</t>
  </si>
  <si>
    <t>Electric</t>
  </si>
  <si>
    <t>Rent/Lease</t>
  </si>
  <si>
    <t>Account Holder</t>
  </si>
  <si>
    <t>Trade Ally</t>
  </si>
  <si>
    <t>New Building/Ground-Up Construction</t>
  </si>
  <si>
    <t>College/University</t>
  </si>
  <si>
    <t>AC w/ Natural Gas Heat</t>
  </si>
  <si>
    <t>Natural Gas</t>
  </si>
  <si>
    <t>Own</t>
  </si>
  <si>
    <t>Gut Rehab</t>
  </si>
  <si>
    <t>Fast Food Restaurant</t>
  </si>
  <si>
    <t>AC w/ No Heat</t>
  </si>
  <si>
    <t>Oil</t>
  </si>
  <si>
    <t>Third Party</t>
  </si>
  <si>
    <t>Grocery/Convenience</t>
  </si>
  <si>
    <t>Propane</t>
  </si>
  <si>
    <t>Health Clinic/Hospital</t>
  </si>
  <si>
    <t>Steam</t>
  </si>
  <si>
    <t>Customer Address</t>
  </si>
  <si>
    <t>Small Office</t>
  </si>
  <si>
    <t>Not Applicable</t>
  </si>
  <si>
    <t>Job Site Address</t>
  </si>
  <si>
    <t>Large Office</t>
  </si>
  <si>
    <t>Alternate Address: (complete below)</t>
  </si>
  <si>
    <t>Religious/Faith-based</t>
  </si>
  <si>
    <t>Gas Station</t>
  </si>
  <si>
    <t>Government</t>
  </si>
  <si>
    <t>Automotive Services</t>
  </si>
  <si>
    <t>IT/Data Ceter</t>
  </si>
  <si>
    <t>Parking Garage</t>
  </si>
  <si>
    <t>Industrial/Manufacturing</t>
  </si>
  <si>
    <t>Warehouse</t>
  </si>
  <si>
    <t>SELECT CHILLER MEASURE FROM DROPDOWN</t>
  </si>
  <si>
    <t>SELECT ECM MEASURE FROM DROPDOWN</t>
  </si>
  <si>
    <t>Labor</t>
  </si>
  <si>
    <t>Taxes</t>
  </si>
  <si>
    <t>Other (disposal, permits, etc.)</t>
  </si>
  <si>
    <t>SELECT DUCT SEALING MEASURE FROM DROPDOWN</t>
  </si>
  <si>
    <t>SELECT GUEST ROOM ENERGY CONTROLS MEASURE FROM DROPDOWN</t>
  </si>
  <si>
    <t>*last 8 weeks</t>
  </si>
  <si>
    <t>How did you hear about us?</t>
  </si>
  <si>
    <t>Address</t>
  </si>
  <si>
    <t>Who to contact with questions?</t>
  </si>
  <si>
    <t>Registered?</t>
  </si>
  <si>
    <t>Application Dropdowns</t>
  </si>
  <si>
    <t>How did you hear about us? (Select the best one)</t>
  </si>
  <si>
    <t>Bonus added, application printout, HVAC dropdowns added</t>
  </si>
  <si>
    <t>Non-Lighting 2023 - v2.0</t>
  </si>
  <si>
    <t>Landlord/Property Mangement</t>
  </si>
  <si>
    <t>If HVAC measures, double check efficiency requirements are met.</t>
  </si>
  <si>
    <t>Tons Requirement</t>
  </si>
  <si>
    <t>Min</t>
  </si>
  <si>
    <t>Max</t>
  </si>
  <si>
    <t>Jesse Bauer</t>
  </si>
  <si>
    <t>Is there a bonus? If yes, unhide Summary columns E &amp; F</t>
  </si>
  <si>
    <t>Bonus</t>
  </si>
  <si>
    <t>Date:</t>
  </si>
  <si>
    <t>City, State, ZIP:</t>
  </si>
  <si>
    <t xml:space="preserve"> ____  ____  -  ____  ____  ____  ____  ____  ____  ____</t>
  </si>
  <si>
    <t>Energy Advisor</t>
  </si>
  <si>
    <t>SMS Text</t>
  </si>
  <si>
    <t>Please complete all sections. Incomplete applications cannot 
be processed and will delay pre-approval.</t>
  </si>
  <si>
    <t>Completed Entergy Solutions program application</t>
  </si>
  <si>
    <t>Completed non-lighting calculator</t>
  </si>
  <si>
    <t>Cut sheets or manufacturer specification sheets</t>
  </si>
  <si>
    <t>Enter information into cells on the "Prescriptive Measures" and "Custom" tabs.</t>
  </si>
  <si>
    <t>Non-Lighting 2023 - v3.0</t>
  </si>
  <si>
    <t>Spencer Kurtz</t>
  </si>
  <si>
    <t>Branding updated, added small C&amp;I incentive cap</t>
  </si>
  <si>
    <t>Entergy Louisiana customer/building owner - contact info</t>
  </si>
  <si>
    <t>2023 Program application</t>
  </si>
  <si>
    <t>Brief project description</t>
  </si>
  <si>
    <t>Project information</t>
  </si>
  <si>
    <t>Customer contact info</t>
  </si>
  <si>
    <t>Primary trade ally/contractor - contact info</t>
  </si>
  <si>
    <t>Additional contact info (optional)</t>
  </si>
  <si>
    <t>Required documentation</t>
  </si>
  <si>
    <t>Payment information</t>
  </si>
  <si>
    <t>Job site info</t>
  </si>
  <si>
    <t>Legal address (As shown on company W-9)</t>
  </si>
  <si>
    <t>Trade ally contact name</t>
  </si>
  <si>
    <t>Registered trade ally?</t>
  </si>
  <si>
    <t>Phone number</t>
  </si>
  <si>
    <t>Email address</t>
  </si>
  <si>
    <t>Company name</t>
  </si>
  <si>
    <t>Street address</t>
  </si>
  <si>
    <t>ZIP code</t>
  </si>
  <si>
    <t>Additional contact name</t>
  </si>
  <si>
    <t>Incentive paycheck payable to:</t>
  </si>
  <si>
    <t>Mail check to:</t>
  </si>
  <si>
    <t>Attn to:</t>
  </si>
  <si>
    <t xml:space="preserve">Project description </t>
  </si>
  <si>
    <t>Project start date</t>
  </si>
  <si>
    <t>Project completion date</t>
  </si>
  <si>
    <t>Building heating &amp; cooling system</t>
  </si>
  <si>
    <t>Water heating system</t>
  </si>
  <si>
    <t>Year built</t>
  </si>
  <si>
    <t>Square footage</t>
  </si>
  <si>
    <t>Building/space type</t>
  </si>
  <si>
    <t>HVAC system</t>
  </si>
  <si>
    <t>Program type</t>
  </si>
  <si>
    <t>Project stage</t>
  </si>
  <si>
    <t>Job site business name</t>
  </si>
  <si>
    <t>Electric account number (if available)</t>
  </si>
  <si>
    <t>New account? (last 8 weeks)</t>
  </si>
  <si>
    <t>Job site street address</t>
  </si>
  <si>
    <t>Commercial kitchen equipment qualification</t>
  </si>
  <si>
    <t>Unitemized costs (not included in equipment costs)</t>
  </si>
  <si>
    <t>Incentive type</t>
  </si>
  <si>
    <t>Gross project cost</t>
  </si>
  <si>
    <t>Incentive bonus</t>
  </si>
  <si>
    <t>Energy (kWh) savings</t>
  </si>
  <si>
    <t>$ savings</t>
  </si>
  <si>
    <t>kW reduction</t>
  </si>
  <si>
    <t>Net project cost</t>
  </si>
  <si>
    <t>Simple payback (years)</t>
  </si>
  <si>
    <t>Air conditioner measures</t>
  </si>
  <si>
    <t>Heat pump measures</t>
  </si>
  <si>
    <t>Tune-up measures</t>
  </si>
  <si>
    <t>Chiller measures</t>
  </si>
  <si>
    <t>Other measures</t>
  </si>
  <si>
    <t>Measure number</t>
  </si>
  <si>
    <t>Refrigeration measures</t>
  </si>
  <si>
    <t>Cooler or freezer?</t>
  </si>
  <si>
    <t>Case description</t>
  </si>
  <si>
    <t>Size range (Volume, ft³)</t>
  </si>
  <si>
    <t>Pre-existing curtains?</t>
  </si>
  <si>
    <t>Units installed</t>
  </si>
  <si>
    <t>Unit of measure</t>
  </si>
  <si>
    <t>Per-unit incentive</t>
  </si>
  <si>
    <t>Uncapped incentive</t>
  </si>
  <si>
    <t>Dishwasher measures</t>
  </si>
  <si>
    <t>Food service measures</t>
  </si>
  <si>
    <t>Water temperature</t>
  </si>
  <si>
    <t>Equipment size</t>
  </si>
  <si>
    <t>Water heater fuel/
Booster heater fuel</t>
  </si>
  <si>
    <t>Equipment category</t>
  </si>
  <si>
    <t>Water conservation measures</t>
  </si>
  <si>
    <t>Plug load measures</t>
  </si>
  <si>
    <t>Controlled devices</t>
  </si>
  <si>
    <t>Installed flow rate (GPM)</t>
  </si>
  <si>
    <t>Building type</t>
  </si>
  <si>
    <t>kWh savings</t>
  </si>
  <si>
    <t>Project completion notice</t>
  </si>
  <si>
    <t>(Unitemized costs)</t>
  </si>
  <si>
    <t xml:space="preserve">Update the payee information (if applicable). If payee has changed from initial application, please send updated 
W-9 attached with this completion notice. </t>
  </si>
  <si>
    <t>Update the installed measures</t>
  </si>
  <si>
    <r>
      <t xml:space="preserve">Email the final project submittal to </t>
    </r>
    <r>
      <rPr>
        <b/>
        <sz val="11"/>
        <rFont val="Arial"/>
        <family val="2"/>
      </rPr>
      <t>entergysolutionsla@entergy.com</t>
    </r>
    <r>
      <rPr>
        <sz val="11"/>
        <rFont val="Arial"/>
        <family val="2"/>
      </rPr>
      <t xml:space="preserve"> with these attachments: </t>
    </r>
  </si>
  <si>
    <t>Entergy customer information</t>
  </si>
  <si>
    <t>Trade ally information</t>
  </si>
  <si>
    <t>Completed energy efficiency measures summary</t>
  </si>
  <si>
    <t xml:space="preserve">Incentive check payable to: </t>
  </si>
  <si>
    <t>Tax ID number:</t>
  </si>
  <si>
    <t>Tax entity: (Choose 1: Corporation, LLC, Sole Proprietor, Partnership, Exempt)</t>
  </si>
  <si>
    <t xml:space="preserve">Mail to address: </t>
  </si>
  <si>
    <t>Customer's signature:</t>
  </si>
  <si>
    <t>Completion</t>
  </si>
  <si>
    <t>Incentive bonus measure number</t>
  </si>
  <si>
    <t>Incentive cap</t>
  </si>
  <si>
    <t>Customer information</t>
  </si>
  <si>
    <t>Property information</t>
  </si>
  <si>
    <t xml:space="preserve">Customer contact information </t>
  </si>
  <si>
    <t xml:space="preserve">Job site information </t>
  </si>
  <si>
    <t xml:space="preserve">Additional project contact </t>
  </si>
  <si>
    <t xml:space="preserve">Payment information </t>
  </si>
  <si>
    <t>Project background information</t>
  </si>
  <si>
    <t xml:space="preserve">Required documentation </t>
  </si>
  <si>
    <t xml:space="preserve"> </t>
  </si>
  <si>
    <t>Input cell</t>
  </si>
  <si>
    <t>Calculation cell</t>
  </si>
  <si>
    <t>Spreadsheet version</t>
  </si>
  <si>
    <t>Customer name</t>
  </si>
  <si>
    <t>Average electric rate ($/kWh)</t>
  </si>
  <si>
    <t>HVAC qualification: A/C and heat pump units, chillers, duct sealing</t>
  </si>
  <si>
    <t>Commercial kitchen equipment</t>
  </si>
  <si>
    <t>Duct sealing measure</t>
  </si>
  <si>
    <t>Cooling capacity 
(tons)</t>
  </si>
  <si>
    <t>Cooling capacity serviced (tons)</t>
  </si>
  <si>
    <t>Full load efficiency 
(EER)</t>
  </si>
  <si>
    <t>Full load efficiency 
(FL kW/ton)</t>
  </si>
  <si>
    <t>Project details</t>
  </si>
  <si>
    <t>Entergy Solutions project number:</t>
  </si>
  <si>
    <t>Project site address:</t>
  </si>
  <si>
    <t>Installation date:</t>
  </si>
  <si>
    <t>Company name:</t>
  </si>
  <si>
    <t>Contact email:</t>
  </si>
  <si>
    <t>Measure type</t>
  </si>
  <si>
    <t>Custom lighting</t>
  </si>
  <si>
    <t>Custom non-lighting</t>
  </si>
  <si>
    <t>Equipment/labor costs</t>
  </si>
  <si>
    <t>Estimated annual kWh savings</t>
  </si>
  <si>
    <t>Requested incentive</t>
  </si>
  <si>
    <t>Unitemized costs</t>
  </si>
  <si>
    <t>Legal address</t>
  </si>
  <si>
    <t>TA contact name</t>
  </si>
  <si>
    <t>Building heating and cooling system</t>
  </si>
  <si>
    <t>Water heating system type</t>
  </si>
  <si>
    <t>Project description</t>
  </si>
  <si>
    <t>Contact name</t>
  </si>
  <si>
    <t>Entergy Solutions application</t>
  </si>
  <si>
    <t>Completed calculator</t>
  </si>
  <si>
    <t>Manufacturer spec sheets ("cut sheets")</t>
  </si>
  <si>
    <t>Incentive check payable to:</t>
  </si>
  <si>
    <t>Customer contact name</t>
  </si>
  <si>
    <t>Primary phone number</t>
  </si>
  <si>
    <t>New* Entergy account?</t>
  </si>
  <si>
    <t>Electric account number</t>
  </si>
  <si>
    <t>Job site address</t>
  </si>
  <si>
    <t>To be eligible for duct sealing incentives, the facility must have central air conditioning with less than 50% of ducts in the conditioned space. Incentives are paid based on improvement of duct leakage measured via pre- and post-improvement tests. Total leakage is the only accepted method of duct testing. If initial measurement is greater than 40% of total system airflow, the 40% of total airflow will be the initial leakage rate reported for incentives. A minimum of 25% improvement in CFM(@25 Pa) from the initial test value (either 40% or the measured leakage, whichever is less) is required for duct sealing to be an eligible incentive measure.</t>
  </si>
  <si>
    <t xml:space="preserve">I, the below signed, certify that the stated energy efficient measure(s) was(were) completed at the project location identified above and that the actual costs reported represent the final and eligible costs of the approved project. I further certify that, to the best of my knowledge, the statements made on this notice are correct. I have submitted the appropriate supporting documentation including all project invoices. </t>
  </si>
  <si>
    <t>□ Completed and signed Entergy Solutions Project Completion Notice.</t>
  </si>
  <si>
    <t>□ Photo documentation or other installation verification documents as requested.</t>
  </si>
  <si>
    <t>A message from Entergy Louisiana, LLC©2023 Entergy Services, LLC. All Rights Reserved.</t>
  </si>
  <si>
    <t>The Entergy Solutions program is an energy efficiency program and not affiliated with</t>
  </si>
  <si>
    <t xml:space="preserve"> Entergy Solutions, LLC.</t>
  </si>
  <si>
    <t>Air conditioner</t>
  </si>
  <si>
    <t>Heat pump</t>
  </si>
  <si>
    <t>Tune-up</t>
  </si>
  <si>
    <t>Part load efficiency 
(SEER, IEER)</t>
  </si>
  <si>
    <t>ECM motors (refrigeration)</t>
  </si>
  <si>
    <t>Evaporator fan controllers (refrigeration)</t>
  </si>
  <si>
    <t>Anti-sweat heater controls (refrigeration)</t>
  </si>
  <si>
    <t>Night cover (refrigeration)</t>
  </si>
  <si>
    <t>Solid door reach-ins (refrigeration)</t>
  </si>
  <si>
    <t>Strip curtains (refrigeration)</t>
  </si>
  <si>
    <t>Commercial dishwasher - ENERGY STAR® - Under counter</t>
  </si>
  <si>
    <t>Commercial dishwasher - ENERGY STAR® - Stationary Single Tank Door</t>
  </si>
  <si>
    <t>Commercial dishwasher - ENERGY STAR® - Pots, pans and utensils</t>
  </si>
  <si>
    <t>Commercial dishwasher - ENERGY STAR®- Single tank conveyor</t>
  </si>
  <si>
    <t>Commercial dishwasher - ENERGY STAR® - Multiple tank conveyor</t>
  </si>
  <si>
    <t>Convection commercial oven - ENERGY STAR®</t>
  </si>
  <si>
    <t>Combination commercial oven &lt;15 Pan - ENERGY STAR®</t>
  </si>
  <si>
    <t>Combination commercial oven &gt;=15 Pan - ENERGY STAR®</t>
  </si>
  <si>
    <t>Commercial ice maker - ENERGY STAR®</t>
  </si>
  <si>
    <r>
      <t>Commercial steam cooker - ENERGY STAR</t>
    </r>
    <r>
      <rPr>
        <sz val="11"/>
        <color theme="1"/>
        <rFont val="Calibri"/>
        <family val="2"/>
      </rPr>
      <t>®</t>
    </r>
  </si>
  <si>
    <t xml:space="preserve">Low-flow sink aerators - 1.5 GPM or Less - Only Electric Hot Water </t>
  </si>
  <si>
    <t xml:space="preserve">Low-flow showerhead - 1.75 GPM or Less - Only Electric Hot Water </t>
  </si>
  <si>
    <t>Advanced power strip</t>
  </si>
  <si>
    <t>PC power management</t>
  </si>
  <si>
    <t>Non-Lighting 2023 - v3.1</t>
  </si>
  <si>
    <t>Removed customer bonus measure</t>
  </si>
  <si>
    <t>HVAC Tune Up - Commercial (heat pump)</t>
  </si>
  <si>
    <t>Commercial steam cooker - ENERGY STAR®</t>
  </si>
  <si>
    <t xml:space="preserve">Non-Lighting 2023 - v4.0 </t>
  </si>
  <si>
    <t>Updated for IECC 2021</t>
  </si>
  <si>
    <t>Baseline - Path A</t>
  </si>
  <si>
    <t>A/C Unit (&gt;= 20 Tons) - Min. efficiency 10.8 EER/13.5 SEER</t>
  </si>
  <si>
    <t>Heat Pump (5.42 - 11.24 Tons) - Min. efficiency 11.3 EER/14.5 SEER/12.0 HSPF</t>
  </si>
  <si>
    <t>Heat Pump (11.25 - 19.9 Tons) - Min. efficiency 10.9 EER/14.0 SEER/12.0 HSPF</t>
  </si>
  <si>
    <t>Heat Pump (&gt;= 20 Tons) - Min. efficiency 10.3 EER/13.0 SEER/12.0 HSPF</t>
  </si>
  <si>
    <t>A/C Unit (&lt; 5.42 Tons) - Min. efficiency of 12.3 EER/14.5 SEER2</t>
  </si>
  <si>
    <t>Air Cooled Chiller &lt;150 Tons (min. eff. of 1.18 kW/ton full load and 0.76 kW/ton IPLV)</t>
  </si>
  <si>
    <t>Air Cooled Chiller &gt;=150 Tons (min. eff. of 1.18 kW/ton full load and 0.75 kW/ton IPLV)</t>
  </si>
  <si>
    <t>Water Cooled Screw/Scroll Chiller &lt;75 Tons (min. eff. of 0.74 kW/ton full load and 0.50 kW/ton IPLV)</t>
  </si>
  <si>
    <t>Water Cooled Screw/Scroll Chiller &gt;= 75 and &lt;150 Tons (min. eff. of 0.71 kW/ton full load and 0.49 kW/ton IPLV)</t>
  </si>
  <si>
    <t>Water Cooled Screw/Scroll Chiller &gt;=150 Tons and &lt;300 Tons (min. eff. of 0.65 kW/ton full load and 0.44 kW/ton IPLV)</t>
  </si>
  <si>
    <t>Water Cooled Screw/Scroll Chiller &gt;=300 Tons (min. eff. of 0.57 kW/ton full load and 0.41 kW/ton IPLV)</t>
  </si>
  <si>
    <t>Water Cooled Centrifugal &lt;300 Tons (min. eff. of 0.60 kW/ton full load and 0.40 kW/ton IPLV)</t>
  </si>
  <si>
    <t>Water Cooled Centrifugal &gt;=600 Tons (min. eff. of 0.55 kW/ton full load and 0.38 kW/ton IPLV)</t>
  </si>
  <si>
    <t>Heat Pump (&lt; 5.42 Tons) - Min. efficiency 12.3 EER/14.5 SEER2/8.0 HSPF2</t>
  </si>
  <si>
    <t>Water Cooled Centrifugal &gt;=300 and &lt;600 Tons (min. eff. of 0.55 kW/ton full load and 0.39 kW/ton IPLV)</t>
  </si>
  <si>
    <t>804530</t>
  </si>
  <si>
    <t>Cool Roof</t>
  </si>
  <si>
    <t>804630</t>
  </si>
  <si>
    <t>Roof or Ceiling Insulation</t>
  </si>
  <si>
    <t>804730</t>
  </si>
  <si>
    <t>Building Envelope Custom Measure - Other</t>
  </si>
  <si>
    <t>204230</t>
  </si>
  <si>
    <t>Air Handler Coil Cleaning</t>
  </si>
  <si>
    <t>204330</t>
  </si>
  <si>
    <t>Chiller Plant Optimization</t>
  </si>
  <si>
    <t>204430</t>
  </si>
  <si>
    <t>HVAC Custom Measure - Other</t>
  </si>
  <si>
    <t>Non-Lighting 2023 - v4.2</t>
  </si>
  <si>
    <t>Updated incentive cap name/formula reference, and EFLH for HVAC measures</t>
  </si>
  <si>
    <t>Non-Lighting 2024 - v4.3</t>
  </si>
  <si>
    <t>Removed HVAC tune-up Measures; Adjusted Chiller Savings Lookups Calc Table</t>
  </si>
  <si>
    <t>Non-Lighting 2024 - v4.4</t>
  </si>
  <si>
    <t>Updated formatting and imbeded notes</t>
  </si>
  <si>
    <t>All white indicates an input cell for the user.</t>
  </si>
  <si>
    <t>Chiller Units 
Installed</t>
  </si>
  <si>
    <t>Non-Lighting 2024 - v4.5</t>
  </si>
  <si>
    <t>Unlocked input fields that shouldn't have been protected</t>
  </si>
  <si>
    <t>A message from Entergy Louisiana, LLC ©2025 Entergy Services, LLC. All Rights Reserved. The Entergy Solutions program is an energy efficiency program and not affiliated with Entergy Solutions, LLC.</t>
  </si>
  <si>
    <t>2025 Program application</t>
  </si>
  <si>
    <t>Non-Lighting 2025 - v5.0</t>
  </si>
  <si>
    <t>Formatted for 2025</t>
  </si>
  <si>
    <t>A message from Entergy Louisiana, LLC©2025 Entergy Services, LLC. All Rights Reserved. The Entergy Solutions program is an energy efficiency program and not affiliated with Entergy Solutions,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</si>
</sst>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4" formatCode="_(&quot;$&quot;* #,##0.00_);_(&quot;$&quot;* \(#,##0.00\);_(&quot;$&quot;* &quot;-&quot;??_);_(@_)"/>
    <numFmt numFmtId="43" formatCode="_(* #,##0.00_);_(* \(#,##0.00\);_(* &quot;-&quot;??_);_(@_)"/>
    <numFmt numFmtId="164" formatCode="&quot;$&quot;#,##0.00"/>
    <numFmt numFmtId="165" formatCode="0.0"/>
    <numFmt numFmtId="166" formatCode="_(* #,##0_);_(* \(#,##0\);_(* &quot;-&quot;??_);_(@_)"/>
    <numFmt numFmtId="167" formatCode="0.000"/>
    <numFmt numFmtId="168" formatCode="_(* #,##0.0_);_(* \(#,##0.0\);_(* &quot;-&quot;??_);_(@_)"/>
    <numFmt numFmtId="169" formatCode="_(* #,##0.000_);_(* \(#,##0.000\);_(* &quot;-&quot;??_);_(@_)"/>
    <numFmt numFmtId="170" formatCode="#,##0.0"/>
    <numFmt numFmtId="171" formatCode="#,##0.000"/>
    <numFmt numFmtId="172" formatCode="&quot;$&quot;#,##0"/>
    <numFmt numFmtId="173" formatCode="0.00000000"/>
  </numFmts>
  <fonts count="63" x14ac:knownFonts="1">
    <font>
      <sz val="11"/>
      <color theme="1"/>
      <name val="Calibri"/>
      <family val="2"/>
      <scheme val="minor"/>
    </font>
    <font>
      <u/>
      <sz val="11"/>
      <color theme="10"/>
      <name val="Calibri"/>
      <family val="2"/>
      <scheme val="minor"/>
    </font>
    <font>
      <sz val="11"/>
      <color theme="1"/>
      <name val="Calibri"/>
      <family val="2"/>
      <scheme val="minor"/>
    </font>
    <font>
      <sz val="11"/>
      <color rgb="FF3F3F76"/>
      <name val="Calibri"/>
      <family val="2"/>
      <scheme val="minor"/>
    </font>
    <font>
      <b/>
      <sz val="14"/>
      <color theme="0"/>
      <name val="Arial"/>
      <family val="2"/>
    </font>
    <font>
      <sz val="10"/>
      <color theme="1"/>
      <name val="Arial"/>
      <family val="2"/>
    </font>
    <font>
      <b/>
      <sz val="10"/>
      <color theme="1"/>
      <name val="Arial"/>
      <family val="2"/>
    </font>
    <font>
      <sz val="9"/>
      <color indexed="81"/>
      <name val="Tahoma"/>
      <family val="2"/>
    </font>
    <font>
      <sz val="11"/>
      <color theme="1"/>
      <name val="Arial"/>
      <family val="2"/>
    </font>
    <font>
      <u/>
      <sz val="11"/>
      <color theme="10"/>
      <name val="Arial"/>
      <family val="2"/>
    </font>
    <font>
      <b/>
      <sz val="11"/>
      <color rgb="FFFA7D00"/>
      <name val="Calibri"/>
      <family val="2"/>
      <scheme val="minor"/>
    </font>
    <font>
      <b/>
      <sz val="11"/>
      <color theme="0"/>
      <name val="Calibri"/>
      <family val="2"/>
      <scheme val="minor"/>
    </font>
    <font>
      <b/>
      <sz val="12"/>
      <color theme="1"/>
      <name val="Calibri"/>
      <family val="2"/>
      <scheme val="minor"/>
    </font>
    <font>
      <sz val="11"/>
      <name val="Calibri"/>
      <family val="2"/>
      <scheme val="minor"/>
    </font>
    <font>
      <sz val="11"/>
      <color theme="1"/>
      <name val="Calibri"/>
      <family val="2"/>
    </font>
    <font>
      <sz val="8"/>
      <name val="Calibri"/>
      <family val="2"/>
      <scheme val="minor"/>
    </font>
    <font>
      <sz val="11"/>
      <color theme="0" tint="-0.14999847407452621"/>
      <name val="Calibri"/>
      <family val="2"/>
      <scheme val="minor"/>
    </font>
    <font>
      <sz val="11"/>
      <color theme="0"/>
      <name val="Calibri"/>
      <family val="2"/>
      <scheme val="minor"/>
    </font>
    <font>
      <u/>
      <sz val="11"/>
      <color theme="1"/>
      <name val="Calibri"/>
      <family val="2"/>
      <scheme val="minor"/>
    </font>
    <font>
      <b/>
      <sz val="10"/>
      <color theme="0"/>
      <name val="Calibri"/>
      <family val="2"/>
      <scheme val="minor"/>
    </font>
    <font>
      <b/>
      <sz val="15"/>
      <color theme="3"/>
      <name val="Calibri"/>
      <family val="2"/>
      <scheme val="minor"/>
    </font>
    <font>
      <sz val="12"/>
      <color theme="1"/>
      <name val="Calibri"/>
      <family val="2"/>
      <scheme val="minor"/>
    </font>
    <font>
      <sz val="10"/>
      <color theme="1"/>
      <name val="Arial Narrow"/>
      <family val="2"/>
    </font>
    <font>
      <sz val="10"/>
      <color theme="0" tint="-0.249977111117893"/>
      <name val="Arial Narrow"/>
      <family val="2"/>
    </font>
    <font>
      <b/>
      <sz val="10"/>
      <color theme="0" tint="-0.249977111117893"/>
      <name val="Arial Narrow"/>
      <family val="2"/>
    </font>
    <font>
      <b/>
      <sz val="10"/>
      <color indexed="8"/>
      <name val="Arial"/>
      <family val="2"/>
    </font>
    <font>
      <sz val="14"/>
      <color theme="1"/>
      <name val="Arial Narrow"/>
      <family val="2"/>
    </font>
    <font>
      <b/>
      <sz val="14"/>
      <color theme="3"/>
      <name val="Calibri"/>
      <family val="2"/>
      <scheme val="minor"/>
    </font>
    <font>
      <b/>
      <sz val="14"/>
      <color theme="3"/>
      <name val="Arial Narrow"/>
      <family val="2"/>
    </font>
    <font>
      <sz val="12"/>
      <color theme="0"/>
      <name val="Calibri"/>
      <family val="2"/>
      <scheme val="minor"/>
    </font>
    <font>
      <sz val="12"/>
      <color rgb="FF003C71"/>
      <name val="Calibri"/>
      <family val="2"/>
      <scheme val="minor"/>
    </font>
    <font>
      <b/>
      <sz val="11"/>
      <name val="Calibri"/>
      <family val="2"/>
      <scheme val="minor"/>
    </font>
    <font>
      <sz val="10"/>
      <name val="Arial"/>
      <family val="2"/>
    </font>
    <font>
      <b/>
      <sz val="10"/>
      <name val="Arial"/>
      <family val="2"/>
    </font>
    <font>
      <sz val="9"/>
      <color theme="1"/>
      <name val="Calibri"/>
      <family val="2"/>
      <scheme val="minor"/>
    </font>
    <font>
      <b/>
      <sz val="11"/>
      <color theme="1"/>
      <name val="Calibri"/>
      <family val="2"/>
      <scheme val="minor"/>
    </font>
    <font>
      <sz val="8"/>
      <color theme="1"/>
      <name val="Calibri"/>
      <family val="2"/>
      <scheme val="minor"/>
    </font>
    <font>
      <b/>
      <sz val="18"/>
      <color theme="1"/>
      <name val="Calibri"/>
      <family val="2"/>
      <scheme val="minor"/>
    </font>
    <font>
      <b/>
      <sz val="18"/>
      <color theme="1"/>
      <name val="Arial"/>
      <family val="2"/>
    </font>
    <font>
      <sz val="11"/>
      <name val="Arial"/>
      <family val="2"/>
    </font>
    <font>
      <sz val="20"/>
      <color theme="1"/>
      <name val="Arial"/>
      <family val="2"/>
    </font>
    <font>
      <sz val="16"/>
      <color theme="1"/>
      <name val="Arial"/>
      <family val="2"/>
    </font>
    <font>
      <sz val="12"/>
      <color theme="0"/>
      <name val="Arial"/>
      <family val="2"/>
    </font>
    <font>
      <sz val="12"/>
      <name val="Arial"/>
      <family val="2"/>
    </font>
    <font>
      <sz val="12"/>
      <color theme="1"/>
      <name val="Arial"/>
      <family val="2"/>
    </font>
    <font>
      <b/>
      <sz val="12"/>
      <name val="Arial"/>
      <family val="2"/>
    </font>
    <font>
      <sz val="12"/>
      <color rgb="FF003C71"/>
      <name val="Arial"/>
      <family val="2"/>
    </font>
    <font>
      <b/>
      <sz val="12"/>
      <color theme="0"/>
      <name val="Arial"/>
      <family val="2"/>
    </font>
    <font>
      <b/>
      <sz val="11"/>
      <name val="Arial"/>
      <family val="2"/>
    </font>
    <font>
      <sz val="9"/>
      <name val="Arial"/>
      <family val="2"/>
    </font>
    <font>
      <sz val="8"/>
      <color theme="1"/>
      <name val="Arial"/>
      <family val="2"/>
    </font>
    <font>
      <b/>
      <sz val="11"/>
      <color theme="1"/>
      <name val="Arial"/>
      <family val="2"/>
    </font>
    <font>
      <sz val="11"/>
      <color theme="0"/>
      <name val="Calibri"/>
      <family val="2"/>
    </font>
    <font>
      <sz val="10"/>
      <color theme="0"/>
      <name val="Arial"/>
      <family val="2"/>
    </font>
    <font>
      <b/>
      <sz val="15"/>
      <name val="Calibri"/>
      <family val="2"/>
      <scheme val="minor"/>
    </font>
    <font>
      <sz val="10"/>
      <color theme="0"/>
      <name val="Arial Narrow"/>
      <family val="2"/>
    </font>
    <font>
      <b/>
      <sz val="14"/>
      <color theme="1"/>
      <name val="Arial Narrow"/>
      <family val="2"/>
    </font>
    <font>
      <b/>
      <sz val="14"/>
      <color theme="1"/>
      <name val="Calibri"/>
      <family val="2"/>
      <scheme val="minor"/>
    </font>
    <font>
      <b/>
      <sz val="12"/>
      <color theme="1"/>
      <name val="Arial"/>
      <family val="2"/>
    </font>
    <font>
      <b/>
      <sz val="11"/>
      <color theme="0"/>
      <name val="Arial"/>
      <family val="2"/>
    </font>
    <font>
      <b/>
      <sz val="11"/>
      <color rgb="FFFA7D00"/>
      <name val="Arial"/>
      <family val="2"/>
    </font>
    <font>
      <sz val="11"/>
      <color theme="0" tint="-0.14999847407452621"/>
      <name val="Arial"/>
      <family val="2"/>
    </font>
    <font>
      <b/>
      <sz val="11"/>
      <color theme="1"/>
      <name val="Calibri"/>
      <family val="2"/>
    </font>
  </fonts>
  <fills count="1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mediumGray">
        <fgColor theme="7"/>
        <bgColor auto="1"/>
      </patternFill>
    </fill>
    <fill>
      <patternFill patternType="solid">
        <fgColor theme="0" tint="-4.9989318521683403E-2"/>
        <bgColor indexed="64"/>
      </patternFill>
    </fill>
    <fill>
      <patternFill patternType="solid">
        <fgColor rgb="FFF2F2F2"/>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FFFF00"/>
        <bgColor indexed="64"/>
      </patternFill>
    </fill>
    <fill>
      <patternFill patternType="solid">
        <fgColor theme="7"/>
        <bgColor indexed="64"/>
      </patternFill>
    </fill>
    <fill>
      <patternFill patternType="solid">
        <fgColor theme="0" tint="-0.249977111117893"/>
        <bgColor indexed="64"/>
      </patternFill>
    </fill>
    <fill>
      <patternFill patternType="solid">
        <fgColor rgb="FFED1653"/>
        <bgColor indexed="64"/>
      </patternFill>
    </fill>
    <fill>
      <patternFill patternType="solid">
        <fgColor theme="0" tint="-4.9989318521683403E-2"/>
        <bgColor theme="7"/>
      </patternFill>
    </fill>
    <fill>
      <patternFill patternType="solid">
        <fgColor theme="0" tint="-0.34998626667073579"/>
        <bgColor indexed="64"/>
      </patternFill>
    </fill>
    <fill>
      <patternFill patternType="solid">
        <fgColor rgb="FFFF000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style="thin">
        <color indexed="64"/>
      </left>
      <right/>
      <top style="thin">
        <color indexed="64"/>
      </top>
      <bottom/>
      <diagonal/>
    </border>
    <border>
      <left style="thin">
        <color auto="1"/>
      </left>
      <right/>
      <top style="thin">
        <color rgb="FF000000"/>
      </top>
      <bottom/>
      <diagonal/>
    </border>
    <border>
      <left style="thin">
        <color indexed="64"/>
      </left>
      <right/>
      <top style="thin">
        <color indexed="64"/>
      </top>
      <bottom style="thin">
        <color rgb="FF000000"/>
      </bottom>
      <diagonal/>
    </border>
    <border>
      <left/>
      <right/>
      <top/>
      <bottom style="thick">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diagonal/>
    </border>
    <border>
      <left/>
      <right/>
      <top/>
      <bottom style="medium">
        <color rgb="FF003C71"/>
      </bottom>
      <diagonal/>
    </border>
    <border>
      <left style="medium">
        <color rgb="FF003C71"/>
      </left>
      <right/>
      <top style="medium">
        <color rgb="FF003C71"/>
      </top>
      <bottom style="thin">
        <color rgb="FF003C71"/>
      </bottom>
      <diagonal/>
    </border>
    <border>
      <left/>
      <right/>
      <top style="medium">
        <color rgb="FF003C71"/>
      </top>
      <bottom style="thin">
        <color rgb="FF003C71"/>
      </bottom>
      <diagonal/>
    </border>
    <border>
      <left/>
      <right style="medium">
        <color rgb="FF003C71"/>
      </right>
      <top style="medium">
        <color rgb="FF003C71"/>
      </top>
      <bottom style="thin">
        <color rgb="FF003C71"/>
      </bottom>
      <diagonal/>
    </border>
    <border>
      <left style="medium">
        <color rgb="FF003C71"/>
      </left>
      <right/>
      <top style="thin">
        <color rgb="FF003C71"/>
      </top>
      <bottom style="thin">
        <color rgb="FF003C71"/>
      </bottom>
      <diagonal/>
    </border>
    <border>
      <left/>
      <right/>
      <top style="thin">
        <color rgb="FF003C71"/>
      </top>
      <bottom style="thin">
        <color rgb="FF003C71"/>
      </bottom>
      <diagonal/>
    </border>
    <border>
      <left/>
      <right style="medium">
        <color rgb="FF003C71"/>
      </right>
      <top style="thin">
        <color rgb="FF003C71"/>
      </top>
      <bottom style="thin">
        <color rgb="FF003C71"/>
      </bottom>
      <diagonal/>
    </border>
    <border>
      <left style="medium">
        <color rgb="FF003C71"/>
      </left>
      <right/>
      <top/>
      <bottom style="medium">
        <color rgb="FF003C71"/>
      </bottom>
      <diagonal/>
    </border>
    <border>
      <left/>
      <right style="medium">
        <color rgb="FF003C71"/>
      </right>
      <top/>
      <bottom style="medium">
        <color rgb="FF003C71"/>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rgb="FF9CAF88"/>
      </right>
      <top style="thin">
        <color indexed="64"/>
      </top>
      <bottom style="thin">
        <color rgb="FF9CAF88"/>
      </bottom>
      <diagonal/>
    </border>
    <border>
      <left style="thin">
        <color indexed="64"/>
      </left>
      <right style="thin">
        <color rgb="FF9CAF88"/>
      </right>
      <top style="thin">
        <color rgb="FF9CAF88"/>
      </top>
      <bottom style="thin">
        <color rgb="FF9CAF88"/>
      </bottom>
      <diagonal/>
    </border>
    <border>
      <left style="thin">
        <color indexed="64"/>
      </left>
      <right style="thin">
        <color rgb="FF9CAF88"/>
      </right>
      <top style="thin">
        <color rgb="FF9CAF88"/>
      </top>
      <bottom style="thin">
        <color indexed="64"/>
      </bottom>
      <diagonal/>
    </border>
    <border>
      <left style="thin">
        <color rgb="FF9CAF88"/>
      </left>
      <right style="thin">
        <color rgb="FF9CAF88"/>
      </right>
      <top/>
      <bottom/>
      <diagonal/>
    </border>
    <border>
      <left style="thin">
        <color indexed="64"/>
      </left>
      <right style="thin">
        <color rgb="FF9CAF88"/>
      </right>
      <top style="thin">
        <color rgb="FF9CAF88"/>
      </top>
      <bottom style="thin">
        <color theme="0"/>
      </bottom>
      <diagonal/>
    </border>
    <border>
      <left style="thin">
        <color indexed="64"/>
      </left>
      <right style="thin">
        <color rgb="FF9CAF88"/>
      </right>
      <top/>
      <bottom style="thin">
        <color rgb="FF9CAF88"/>
      </bottom>
      <diagonal/>
    </border>
    <border>
      <left style="thin">
        <color rgb="FF9CAF88"/>
      </left>
      <right style="thin">
        <color indexed="64"/>
      </right>
      <top style="thin">
        <color indexed="64"/>
      </top>
      <bottom style="thin">
        <color indexed="64"/>
      </bottom>
      <diagonal/>
    </border>
    <border>
      <left style="thin">
        <color rgb="FF9CAF88"/>
      </left>
      <right style="thin">
        <color indexed="64"/>
      </right>
      <top/>
      <bottom/>
      <diagonal/>
    </border>
    <border>
      <left style="thin">
        <color rgb="FF9CAF88"/>
      </left>
      <right style="thin">
        <color indexed="64"/>
      </right>
      <top style="thin">
        <color indexed="64"/>
      </top>
      <bottom/>
      <diagonal/>
    </border>
    <border>
      <left style="thin">
        <color indexed="64"/>
      </left>
      <right style="thin">
        <color rgb="FF9CAF88"/>
      </right>
      <top style="thin">
        <color indexed="64"/>
      </top>
      <bottom style="thin">
        <color indexed="64"/>
      </bottom>
      <diagonal/>
    </border>
    <border>
      <left style="thin">
        <color rgb="FF9CAF88"/>
      </left>
      <right style="thin">
        <color rgb="FF9CAF88"/>
      </right>
      <top style="thin">
        <color indexed="64"/>
      </top>
      <bottom style="thin">
        <color indexed="64"/>
      </bottom>
      <diagonal/>
    </border>
    <border>
      <left style="thin">
        <color rgb="FF9CAF88"/>
      </left>
      <right style="medium">
        <color rgb="FF9CAF88"/>
      </right>
      <top style="thin">
        <color indexed="64"/>
      </top>
      <bottom style="thin">
        <color indexed="64"/>
      </bottom>
      <diagonal/>
    </border>
    <border>
      <left/>
      <right style="thin">
        <color rgb="FF9CAF88"/>
      </right>
      <top/>
      <bottom/>
      <diagonal/>
    </border>
    <border>
      <left style="thin">
        <color rgb="FF9CAF88"/>
      </left>
      <right style="medium">
        <color rgb="FF9CAF88"/>
      </right>
      <top/>
      <bottom/>
      <diagonal/>
    </border>
    <border>
      <left style="thin">
        <color indexed="64"/>
      </left>
      <right style="thin">
        <color rgb="FF9CAF88"/>
      </right>
      <top style="thin">
        <color indexed="64"/>
      </top>
      <bottom/>
      <diagonal/>
    </border>
    <border>
      <left style="thin">
        <color rgb="FF9CAF88"/>
      </left>
      <right style="thin">
        <color rgb="FF9CAF88"/>
      </right>
      <top style="thin">
        <color indexed="64"/>
      </top>
      <bottom/>
      <diagonal/>
    </border>
    <border>
      <left style="thin">
        <color rgb="FF9CAF88"/>
      </left>
      <right style="medium">
        <color rgb="FF9CAF88"/>
      </right>
      <top style="thin">
        <color indexed="64"/>
      </top>
      <bottom/>
      <diagonal/>
    </border>
    <border>
      <left style="thin">
        <color rgb="FF7F7F7F"/>
      </left>
      <right style="thin">
        <color rgb="FF7F7F7F"/>
      </right>
      <top/>
      <bottom style="thin">
        <color rgb="FF7F7F7F"/>
      </bottom>
      <diagonal/>
    </border>
  </borders>
  <cellStyleXfs count="9">
    <xf numFmtId="0" fontId="0" fillId="0" borderId="0"/>
    <xf numFmtId="0" fontId="1" fillId="0" borderId="0" applyNumberFormat="0" applyFill="0" applyBorder="0" applyAlignment="0" applyProtection="0"/>
    <xf numFmtId="9" fontId="2" fillId="0" borderId="0" applyFont="0" applyFill="0" applyBorder="0" applyAlignment="0" applyProtection="0"/>
    <xf numFmtId="0" fontId="6" fillId="3" borderId="1" applyNumberFormat="0" applyFont="0" applyBorder="0" applyAlignment="0">
      <alignment horizontal="left" vertical="center"/>
    </xf>
    <xf numFmtId="0" fontId="3" fillId="4" borderId="15" applyNumberFormat="0" applyFont="0" applyBorder="0" applyAlignment="0" applyProtection="0"/>
    <xf numFmtId="43" fontId="2" fillId="0" borderId="0" applyFont="0" applyFill="0" applyBorder="0" applyAlignment="0" applyProtection="0"/>
    <xf numFmtId="0" fontId="10" fillId="6" borderId="15" applyNumberFormat="0" applyAlignment="0" applyProtection="0"/>
    <xf numFmtId="0" fontId="20" fillId="0" borderId="20" applyNumberFormat="0" applyFill="0" applyAlignment="0" applyProtection="0"/>
    <xf numFmtId="44" fontId="2" fillId="0" borderId="0" applyFont="0" applyFill="0" applyBorder="0" applyAlignment="0" applyProtection="0"/>
  </cellStyleXfs>
  <cellXfs count="461">
    <xf numFmtId="0" fontId="0" fillId="0" borderId="0" xfId="0"/>
    <xf numFmtId="0" fontId="5" fillId="0" borderId="0" xfId="0" applyFont="1" applyAlignment="1">
      <alignment horizontal="left" wrapText="1" indent="1"/>
    </xf>
    <xf numFmtId="0" fontId="5" fillId="0" borderId="0" xfId="0" applyFont="1" applyAlignment="1">
      <alignment horizontal="left" vertical="center" wrapText="1" indent="1"/>
    </xf>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8" fillId="0" borderId="0" xfId="0" applyFont="1"/>
    <xf numFmtId="0" fontId="8" fillId="2" borderId="1" xfId="0" applyFont="1" applyFill="1" applyBorder="1" applyAlignment="1">
      <alignment vertical="center" wrapText="1"/>
    </xf>
    <xf numFmtId="0" fontId="0" fillId="0" borderId="0" xfId="0" applyAlignment="1">
      <alignment horizontal="right"/>
    </xf>
    <xf numFmtId="0" fontId="0" fillId="0" borderId="1" xfId="0" applyBorder="1"/>
    <xf numFmtId="0" fontId="14" fillId="0" borderId="1" xfId="0" applyFont="1" applyBorder="1"/>
    <xf numFmtId="4" fontId="14" fillId="0" borderId="1" xfId="0" applyNumberFormat="1" applyFont="1" applyBorder="1"/>
    <xf numFmtId="0" fontId="0" fillId="0" borderId="1" xfId="0" applyBorder="1" applyAlignment="1">
      <alignment vertical="center"/>
    </xf>
    <xf numFmtId="0" fontId="5" fillId="7" borderId="1" xfId="0" applyFont="1" applyFill="1" applyBorder="1" applyAlignment="1">
      <alignment horizontal="center" vertical="center" wrapText="1"/>
    </xf>
    <xf numFmtId="0" fontId="0" fillId="2" borderId="1" xfId="0" applyFill="1" applyBorder="1"/>
    <xf numFmtId="164" fontId="0" fillId="0" borderId="1" xfId="0" applyNumberFormat="1" applyBorder="1"/>
    <xf numFmtId="165" fontId="0" fillId="0" borderId="1" xfId="0" applyNumberFormat="1" applyBorder="1"/>
    <xf numFmtId="0" fontId="0" fillId="0" borderId="1" xfId="0" applyBorder="1" applyAlignment="1">
      <alignment horizontal="center" vertical="center"/>
    </xf>
    <xf numFmtId="0" fontId="5" fillId="0" borderId="1" xfId="3" applyFont="1" applyFill="1" applyBorder="1" applyAlignment="1">
      <alignment horizontal="left" vertical="center" wrapText="1"/>
    </xf>
    <xf numFmtId="0" fontId="18" fillId="0" borderId="0" xfId="0" applyFont="1"/>
    <xf numFmtId="9" fontId="0" fillId="5" borderId="1" xfId="2" applyFont="1" applyFill="1" applyBorder="1" applyAlignment="1">
      <alignment horizontal="center" vertical="center"/>
    </xf>
    <xf numFmtId="0" fontId="0" fillId="0" borderId="1" xfId="0" applyBorder="1" applyAlignment="1">
      <alignment horizontal="center" vertical="center" wrapText="1"/>
    </xf>
    <xf numFmtId="0" fontId="0" fillId="8" borderId="1" xfId="0" applyFill="1" applyBorder="1"/>
    <xf numFmtId="0" fontId="0" fillId="8" borderId="13" xfId="0" applyFill="1" applyBorder="1"/>
    <xf numFmtId="0" fontId="0" fillId="8" borderId="14" xfId="0" applyFill="1" applyBorder="1"/>
    <xf numFmtId="3" fontId="0" fillId="8" borderId="1" xfId="0" applyNumberFormat="1" applyFill="1" applyBorder="1"/>
    <xf numFmtId="3" fontId="0" fillId="8" borderId="14" xfId="0" applyNumberFormat="1" applyFill="1" applyBorder="1"/>
    <xf numFmtId="0" fontId="21" fillId="0" borderId="0" xfId="0" applyFont="1" applyAlignment="1">
      <alignment horizontal="center" vertical="center"/>
    </xf>
    <xf numFmtId="2" fontId="0" fillId="0" borderId="1" xfId="0" applyNumberFormat="1" applyBorder="1"/>
    <xf numFmtId="0" fontId="22" fillId="0" borderId="1" xfId="3" applyFont="1" applyFill="1" applyBorder="1" applyAlignment="1">
      <alignment horizontal="left" vertical="center" wrapText="1"/>
    </xf>
    <xf numFmtId="0" fontId="22" fillId="0" borderId="0" xfId="0" applyFont="1"/>
    <xf numFmtId="0" fontId="22" fillId="2" borderId="1" xfId="0" applyFont="1" applyFill="1" applyBorder="1"/>
    <xf numFmtId="0" fontId="23" fillId="2" borderId="1" xfId="0" applyFont="1" applyFill="1" applyBorder="1"/>
    <xf numFmtId="0" fontId="23" fillId="0" borderId="0" xfId="0" applyFont="1"/>
    <xf numFmtId="0" fontId="22" fillId="0" borderId="1" xfId="0" applyFont="1" applyBorder="1"/>
    <xf numFmtId="165" fontId="22" fillId="0" borderId="1" xfId="0" applyNumberFormat="1" applyFont="1" applyBorder="1"/>
    <xf numFmtId="167" fontId="22" fillId="0" borderId="1" xfId="0" applyNumberFormat="1" applyFont="1" applyBorder="1"/>
    <xf numFmtId="3" fontId="22" fillId="0" borderId="1" xfId="0" applyNumberFormat="1" applyFont="1" applyBorder="1"/>
    <xf numFmtId="43" fontId="22" fillId="0" borderId="1" xfId="0" applyNumberFormat="1" applyFont="1" applyBorder="1"/>
    <xf numFmtId="169" fontId="22" fillId="0" borderId="1" xfId="0" applyNumberFormat="1" applyFont="1" applyBorder="1"/>
    <xf numFmtId="0" fontId="24" fillId="0" borderId="1" xfId="0" applyFont="1" applyBorder="1"/>
    <xf numFmtId="0" fontId="23" fillId="0" borderId="1" xfId="0" applyFont="1" applyBorder="1"/>
    <xf numFmtId="168" fontId="22" fillId="0" borderId="1" xfId="0" applyNumberFormat="1" applyFont="1" applyBorder="1"/>
    <xf numFmtId="0" fontId="23" fillId="0" borderId="1" xfId="0" applyFont="1" applyBorder="1" applyAlignment="1">
      <alignment horizontal="right"/>
    </xf>
    <xf numFmtId="166" fontId="22" fillId="0" borderId="1" xfId="0" applyNumberFormat="1" applyFont="1" applyBorder="1"/>
    <xf numFmtId="165" fontId="24" fillId="0" borderId="1" xfId="0" applyNumberFormat="1" applyFont="1" applyBorder="1"/>
    <xf numFmtId="165" fontId="23" fillId="0" borderId="1" xfId="0" applyNumberFormat="1" applyFont="1" applyBorder="1"/>
    <xf numFmtId="165" fontId="23" fillId="0" borderId="0" xfId="0" applyNumberFormat="1" applyFont="1"/>
    <xf numFmtId="168" fontId="24" fillId="0" borderId="1" xfId="0" applyNumberFormat="1" applyFont="1" applyBorder="1"/>
    <xf numFmtId="169" fontId="23" fillId="0" borderId="1" xfId="0" applyNumberFormat="1" applyFont="1" applyBorder="1"/>
    <xf numFmtId="169" fontId="22" fillId="2" borderId="1" xfId="0" applyNumberFormat="1" applyFont="1" applyFill="1" applyBorder="1"/>
    <xf numFmtId="0" fontId="23" fillId="2" borderId="1" xfId="0" applyFont="1" applyFill="1" applyBorder="1" applyAlignment="1">
      <alignment horizontal="left"/>
    </xf>
    <xf numFmtId="0" fontId="23" fillId="2" borderId="1" xfId="0" applyFont="1" applyFill="1" applyBorder="1" applyAlignment="1">
      <alignment horizontal="left" wrapText="1"/>
    </xf>
    <xf numFmtId="2" fontId="24" fillId="0" borderId="1" xfId="0" applyNumberFormat="1" applyFont="1" applyBorder="1"/>
    <xf numFmtId="2" fontId="23" fillId="0" borderId="1" xfId="0" applyNumberFormat="1" applyFont="1" applyBorder="1"/>
    <xf numFmtId="0" fontId="22" fillId="0" borderId="1" xfId="0" applyFont="1" applyBorder="1" applyAlignment="1">
      <alignment horizontal="left"/>
    </xf>
    <xf numFmtId="0" fontId="23" fillId="0" borderId="1" xfId="0" applyFont="1" applyBorder="1" applyAlignment="1">
      <alignment wrapText="1"/>
    </xf>
    <xf numFmtId="43" fontId="24" fillId="0" borderId="1" xfId="0" applyNumberFormat="1" applyFont="1" applyBorder="1"/>
    <xf numFmtId="169" fontId="24" fillId="0" borderId="1" xfId="0" applyNumberFormat="1" applyFont="1" applyBorder="1"/>
    <xf numFmtId="0" fontId="23" fillId="2" borderId="1" xfId="0" applyFont="1" applyFill="1" applyBorder="1" applyAlignment="1">
      <alignment horizontal="right"/>
    </xf>
    <xf numFmtId="4" fontId="22" fillId="0" borderId="1" xfId="0" applyNumberFormat="1" applyFont="1" applyBorder="1"/>
    <xf numFmtId="0" fontId="26" fillId="0" borderId="0" xfId="0" applyFont="1"/>
    <xf numFmtId="0" fontId="28" fillId="0" borderId="20" xfId="7" applyFont="1"/>
    <xf numFmtId="0" fontId="5" fillId="9" borderId="0" xfId="0" applyFont="1" applyFill="1" applyAlignment="1">
      <alignment vertical="center" wrapText="1"/>
    </xf>
    <xf numFmtId="0" fontId="5" fillId="2" borderId="4"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0" xfId="0" applyFont="1" applyFill="1" applyBorder="1" applyAlignment="1">
      <alignment vertical="center" wrapText="1"/>
    </xf>
    <xf numFmtId="164" fontId="0" fillId="2" borderId="1" xfId="0" applyNumberFormat="1" applyFill="1" applyBorder="1" applyAlignment="1">
      <alignment horizontal="center" vertical="center"/>
    </xf>
    <xf numFmtId="164" fontId="0" fillId="2" borderId="1" xfId="0" applyNumberFormat="1" applyFill="1" applyBorder="1" applyAlignment="1">
      <alignment horizontal="center" vertical="center" wrapText="1"/>
    </xf>
    <xf numFmtId="0" fontId="0" fillId="3" borderId="17" xfId="3" applyFont="1" applyBorder="1" applyAlignment="1">
      <alignment horizontal="center" vertical="center" wrapText="1"/>
    </xf>
    <xf numFmtId="0" fontId="0" fillId="3" borderId="1" xfId="3" applyFont="1" applyBorder="1" applyAlignment="1">
      <alignment horizontal="left" vertical="center" wrapText="1"/>
    </xf>
    <xf numFmtId="0" fontId="0" fillId="3" borderId="1" xfId="3" applyFont="1" applyBorder="1" applyAlignment="1">
      <alignment horizontal="center" vertical="center" wrapText="1"/>
    </xf>
    <xf numFmtId="0" fontId="0" fillId="0" borderId="0" xfId="0" applyAlignment="1">
      <alignment vertical="center" wrapText="1"/>
    </xf>
    <xf numFmtId="0" fontId="0" fillId="3" borderId="17" xfId="3" applyFont="1" applyBorder="1" applyAlignment="1">
      <alignment horizontal="left" vertical="center" wrapText="1"/>
    </xf>
    <xf numFmtId="0" fontId="0" fillId="3" borderId="19" xfId="3" applyFont="1" applyBorder="1" applyAlignment="1">
      <alignment horizontal="left" vertical="center" wrapText="1"/>
    </xf>
    <xf numFmtId="164" fontId="16" fillId="2" borderId="1" xfId="0" applyNumberFormat="1" applyFont="1" applyFill="1" applyBorder="1" applyAlignment="1">
      <alignment horizontal="center" vertical="center"/>
    </xf>
    <xf numFmtId="0" fontId="0" fillId="2" borderId="1" xfId="0" applyFill="1" applyBorder="1" applyAlignment="1">
      <alignment horizontal="right"/>
    </xf>
    <xf numFmtId="0" fontId="0" fillId="2" borderId="1" xfId="0" applyFill="1" applyBorder="1" applyAlignment="1">
      <alignment horizontal="right" vertical="center"/>
    </xf>
    <xf numFmtId="9" fontId="13" fillId="2" borderId="1" xfId="2" applyFont="1" applyFill="1" applyBorder="1" applyAlignment="1">
      <alignment horizontal="center" vertical="center"/>
    </xf>
    <xf numFmtId="0" fontId="13" fillId="2" borderId="1" xfId="0" applyFont="1" applyFill="1" applyBorder="1" applyAlignment="1">
      <alignment horizontal="center" vertical="center"/>
    </xf>
    <xf numFmtId="0" fontId="0" fillId="0" borderId="1" xfId="0" applyBorder="1" applyAlignment="1">
      <alignment horizontal="left" vertical="center"/>
    </xf>
    <xf numFmtId="164" fontId="0" fillId="0" borderId="1" xfId="2" applyNumberFormat="1" applyFont="1" applyBorder="1" applyAlignment="1">
      <alignment horizontal="center" vertical="center"/>
    </xf>
    <xf numFmtId="9" fontId="0" fillId="0" borderId="1" xfId="2" applyFont="1" applyBorder="1" applyAlignment="1">
      <alignment horizontal="center" vertical="center"/>
    </xf>
    <xf numFmtId="14" fontId="0" fillId="0" borderId="1" xfId="0" applyNumberFormat="1" applyBorder="1"/>
    <xf numFmtId="165" fontId="0" fillId="8" borderId="14" xfId="0" applyNumberFormat="1" applyFill="1" applyBorder="1"/>
    <xf numFmtId="0" fontId="0" fillId="11" borderId="1" xfId="0" applyFill="1" applyBorder="1"/>
    <xf numFmtId="0" fontId="0" fillId="11" borderId="13" xfId="0" applyFill="1" applyBorder="1"/>
    <xf numFmtId="0" fontId="0" fillId="11" borderId="14" xfId="0" applyFill="1" applyBorder="1"/>
    <xf numFmtId="165" fontId="0" fillId="11" borderId="14" xfId="0" applyNumberFormat="1" applyFill="1" applyBorder="1"/>
    <xf numFmtId="3" fontId="0" fillId="11" borderId="1" xfId="0" applyNumberFormat="1" applyFill="1" applyBorder="1"/>
    <xf numFmtId="3" fontId="0" fillId="11" borderId="14" xfId="0" applyNumberFormat="1" applyFill="1" applyBorder="1"/>
    <xf numFmtId="0" fontId="0" fillId="12" borderId="1" xfId="0" applyFill="1" applyBorder="1"/>
    <xf numFmtId="9" fontId="0" fillId="0" borderId="0" xfId="0" applyNumberFormat="1"/>
    <xf numFmtId="0" fontId="6" fillId="2" borderId="1" xfId="0" applyFont="1" applyFill="1" applyBorder="1" applyAlignment="1">
      <alignment horizontal="left" vertical="center" wrapText="1" indent="1"/>
    </xf>
    <xf numFmtId="0" fontId="5" fillId="0" borderId="17" xfId="0" applyFont="1" applyBorder="1" applyAlignment="1">
      <alignment horizontal="centerContinuous" vertical="center" wrapText="1"/>
    </xf>
    <xf numFmtId="0" fontId="5" fillId="0" borderId="34" xfId="0" applyFont="1" applyBorder="1" applyAlignment="1">
      <alignment horizontal="centerContinuous" vertical="center" wrapText="1"/>
    </xf>
    <xf numFmtId="0" fontId="5" fillId="0" borderId="13" xfId="0" applyFont="1" applyBorder="1" applyAlignment="1">
      <alignment horizontal="centerContinuous" vertical="center" wrapText="1"/>
    </xf>
    <xf numFmtId="0" fontId="5" fillId="0" borderId="14" xfId="0" applyFont="1" applyBorder="1" applyAlignment="1">
      <alignment horizontal="centerContinuous" vertical="center" wrapText="1"/>
    </xf>
    <xf numFmtId="0" fontId="5" fillId="0" borderId="1" xfId="0" applyFont="1" applyBorder="1" applyAlignment="1">
      <alignment horizontal="centerContinuous" vertical="center" wrapText="1"/>
    </xf>
    <xf numFmtId="0" fontId="6" fillId="0" borderId="13" xfId="0" applyFont="1" applyBorder="1" applyAlignment="1">
      <alignment horizontal="centerContinuous" vertical="center" wrapText="1"/>
    </xf>
    <xf numFmtId="0" fontId="6" fillId="0" borderId="14" xfId="0" applyFont="1" applyBorder="1" applyAlignment="1">
      <alignment horizontal="centerContinuous" vertical="center" wrapText="1"/>
    </xf>
    <xf numFmtId="0" fontId="5" fillId="0" borderId="0" xfId="0" applyFont="1" applyAlignment="1">
      <alignment horizontal="left" indent="1"/>
    </xf>
    <xf numFmtId="0" fontId="0" fillId="0" borderId="0" xfId="0" applyFill="1" applyBorder="1" applyAlignment="1">
      <alignment vertical="center"/>
    </xf>
    <xf numFmtId="0" fontId="0" fillId="0" borderId="0" xfId="0" applyAlignment="1"/>
    <xf numFmtId="0" fontId="0" fillId="0" borderId="35" xfId="0" applyBorder="1" applyAlignment="1">
      <alignment horizontal="centerContinuous"/>
    </xf>
    <xf numFmtId="0" fontId="0" fillId="0" borderId="34" xfId="0" applyBorder="1" applyAlignment="1">
      <alignment horizontal="centerContinuous"/>
    </xf>
    <xf numFmtId="0" fontId="17" fillId="0" borderId="0" xfId="0" applyFont="1" applyFill="1" applyBorder="1" applyAlignment="1"/>
    <xf numFmtId="0" fontId="0" fillId="0" borderId="0" xfId="0" applyFill="1" applyBorder="1" applyAlignment="1"/>
    <xf numFmtId="0" fontId="0" fillId="0" borderId="2" xfId="0" applyBorder="1" applyAlignment="1">
      <alignment horizontal="centerContinuous"/>
    </xf>
    <xf numFmtId="0" fontId="5" fillId="0" borderId="1" xfId="0" applyFont="1" applyBorder="1" applyAlignment="1">
      <alignment horizontal="left" indent="1"/>
    </xf>
    <xf numFmtId="0" fontId="5" fillId="0" borderId="1" xfId="0" applyFont="1" applyBorder="1" applyAlignment="1">
      <alignment horizontal="left" wrapText="1" indent="1"/>
    </xf>
    <xf numFmtId="0" fontId="0" fillId="0" borderId="14" xfId="0" applyBorder="1"/>
    <xf numFmtId="0" fontId="5" fillId="0" borderId="1" xfId="0" applyFont="1" applyFill="1" applyBorder="1" applyAlignment="1">
      <alignment horizontal="left" vertical="center" wrapText="1"/>
    </xf>
    <xf numFmtId="0" fontId="22" fillId="0" borderId="0" xfId="0" applyFont="1" applyBorder="1"/>
    <xf numFmtId="168" fontId="22" fillId="0" borderId="0" xfId="0" applyNumberFormat="1" applyFont="1" applyBorder="1"/>
    <xf numFmtId="169" fontId="22" fillId="0" borderId="0" xfId="0" applyNumberFormat="1" applyFont="1" applyBorder="1"/>
    <xf numFmtId="2" fontId="0" fillId="0" borderId="1" xfId="0" applyNumberFormat="1" applyFill="1" applyBorder="1"/>
    <xf numFmtId="0" fontId="0" fillId="0" borderId="1" xfId="0" applyFill="1" applyBorder="1"/>
    <xf numFmtId="167" fontId="0" fillId="0" borderId="1" xfId="0" applyNumberFormat="1" applyFill="1" applyBorder="1"/>
    <xf numFmtId="0" fontId="0" fillId="0" borderId="1" xfId="0" applyFill="1" applyBorder="1" applyAlignment="1">
      <alignment vertical="center"/>
    </xf>
    <xf numFmtId="0" fontId="0" fillId="13" borderId="1" xfId="0" applyFill="1" applyBorder="1"/>
    <xf numFmtId="3" fontId="0" fillId="13" borderId="1" xfId="0" applyNumberFormat="1" applyFill="1" applyBorder="1"/>
    <xf numFmtId="0" fontId="0" fillId="13" borderId="13" xfId="0" applyFill="1" applyBorder="1"/>
    <xf numFmtId="0" fontId="0" fillId="13" borderId="14" xfId="0" applyFill="1" applyBorder="1"/>
    <xf numFmtId="3" fontId="0" fillId="13" borderId="14" xfId="0" applyNumberFormat="1" applyFill="1" applyBorder="1"/>
    <xf numFmtId="165" fontId="0" fillId="13" borderId="14" xfId="0" applyNumberFormat="1" applyFill="1" applyBorder="1"/>
    <xf numFmtId="0" fontId="0" fillId="0" borderId="0" xfId="0" applyFill="1"/>
    <xf numFmtId="0" fontId="21" fillId="0" borderId="40" xfId="0" applyFont="1" applyBorder="1"/>
    <xf numFmtId="0" fontId="0" fillId="0" borderId="41" xfId="0" applyBorder="1"/>
    <xf numFmtId="0" fontId="21" fillId="0" borderId="42" xfId="0" applyFont="1" applyBorder="1"/>
    <xf numFmtId="0" fontId="21" fillId="0" borderId="0" xfId="0" applyFont="1" applyBorder="1"/>
    <xf numFmtId="0" fontId="0" fillId="0" borderId="0" xfId="0" applyBorder="1"/>
    <xf numFmtId="0" fontId="0" fillId="0" borderId="43" xfId="0" applyBorder="1"/>
    <xf numFmtId="0" fontId="30" fillId="0" borderId="45" xfId="0" applyFont="1" applyBorder="1"/>
    <xf numFmtId="0" fontId="0" fillId="0" borderId="45" xfId="0" applyBorder="1"/>
    <xf numFmtId="0" fontId="0" fillId="0" borderId="46" xfId="0" applyBorder="1"/>
    <xf numFmtId="0" fontId="0" fillId="0" borderId="50" xfId="0" applyBorder="1" applyAlignment="1">
      <alignment horizontal="centerContinuous"/>
    </xf>
    <xf numFmtId="0" fontId="0" fillId="0" borderId="51" xfId="0" applyBorder="1" applyAlignment="1">
      <alignment horizontal="centerContinuous"/>
    </xf>
    <xf numFmtId="0" fontId="0" fillId="0" borderId="54" xfId="0" applyBorder="1" applyAlignment="1">
      <alignment horizontal="centerContinuous"/>
    </xf>
    <xf numFmtId="0" fontId="0" fillId="14" borderId="55" xfId="0" applyFill="1" applyBorder="1"/>
    <xf numFmtId="0" fontId="0" fillId="14" borderId="12" xfId="0" applyFill="1" applyBorder="1"/>
    <xf numFmtId="0" fontId="0" fillId="0" borderId="50" xfId="0" applyFont="1" applyBorder="1" applyAlignment="1">
      <alignment horizontal="centerContinuous"/>
    </xf>
    <xf numFmtId="0" fontId="0" fillId="0" borderId="53" xfId="0" applyBorder="1" applyAlignment="1"/>
    <xf numFmtId="0" fontId="0" fillId="0" borderId="55" xfId="0" applyBorder="1" applyAlignment="1">
      <alignment horizontal="centerContinuous"/>
    </xf>
    <xf numFmtId="0" fontId="0" fillId="14" borderId="60" xfId="0" applyFill="1" applyBorder="1"/>
    <xf numFmtId="0" fontId="0" fillId="0" borderId="50" xfId="0" applyFill="1" applyBorder="1" applyAlignment="1">
      <alignment horizontal="centerContinuous"/>
    </xf>
    <xf numFmtId="0" fontId="5" fillId="0" borderId="35" xfId="4" applyFont="1" applyFill="1" applyBorder="1" applyAlignment="1" applyProtection="1">
      <alignment horizontal="center" vertical="center" wrapText="1"/>
      <protection locked="0"/>
    </xf>
    <xf numFmtId="0" fontId="0" fillId="0" borderId="0" xfId="0" applyAlignment="1">
      <alignment vertical="top"/>
    </xf>
    <xf numFmtId="0" fontId="35" fillId="0" borderId="0" xfId="0" applyFont="1"/>
    <xf numFmtId="164" fontId="0" fillId="0" borderId="0" xfId="0" applyNumberFormat="1"/>
    <xf numFmtId="0" fontId="0" fillId="3" borderId="17" xfId="3" applyFont="1" applyBorder="1" applyAlignment="1" applyProtection="1">
      <alignment horizontal="center" vertical="center" wrapText="1"/>
      <protection hidden="1"/>
    </xf>
    <xf numFmtId="0" fontId="0" fillId="3" borderId="1" xfId="3" applyFont="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164" fontId="0" fillId="2" borderId="1" xfId="0" applyNumberFormat="1" applyFill="1" applyBorder="1" applyAlignment="1" applyProtection="1">
      <alignment horizontal="center" vertical="center" wrapText="1"/>
      <protection hidden="1"/>
    </xf>
    <xf numFmtId="0" fontId="0" fillId="2" borderId="1" xfId="0" applyFill="1" applyBorder="1" applyAlignment="1" applyProtection="1">
      <alignment horizontal="center" vertical="center"/>
      <protection hidden="1"/>
    </xf>
    <xf numFmtId="164" fontId="0" fillId="2" borderId="1" xfId="0" applyNumberFormat="1" applyFill="1" applyBorder="1" applyAlignment="1" applyProtection="1">
      <alignment horizontal="center" vertical="center"/>
      <protection hidden="1"/>
    </xf>
    <xf numFmtId="0" fontId="0" fillId="2" borderId="17" xfId="0" applyFill="1" applyBorder="1" applyAlignment="1" applyProtection="1">
      <alignment horizontal="center" vertical="center" wrapText="1"/>
      <protection hidden="1"/>
    </xf>
    <xf numFmtId="0" fontId="0" fillId="10" borderId="14" xfId="0" applyFill="1" applyBorder="1"/>
    <xf numFmtId="173" fontId="0" fillId="0" borderId="0" xfId="0" applyNumberFormat="1"/>
    <xf numFmtId="0" fontId="4" fillId="15" borderId="1" xfId="0" applyFont="1" applyFill="1" applyBorder="1" applyAlignment="1">
      <alignment horizontal="centerContinuous" vertical="center" wrapText="1"/>
    </xf>
    <xf numFmtId="0" fontId="37" fillId="0" borderId="0" xfId="0" applyFont="1"/>
    <xf numFmtId="0" fontId="0" fillId="15" borderId="0" xfId="0" applyFill="1"/>
    <xf numFmtId="0" fontId="6" fillId="5" borderId="1" xfId="0" applyFont="1" applyFill="1" applyBorder="1" applyAlignment="1">
      <alignment horizontal="left" vertical="center" wrapText="1" indent="1"/>
    </xf>
    <xf numFmtId="0" fontId="6" fillId="5" borderId="1" xfId="0" applyFont="1" applyFill="1" applyBorder="1" applyAlignment="1">
      <alignment horizontal="left" vertical="center" indent="1"/>
    </xf>
    <xf numFmtId="0" fontId="33" fillId="5" borderId="1" xfId="0" applyFont="1" applyFill="1" applyBorder="1" applyAlignment="1">
      <alignment horizontal="left" vertical="center" wrapText="1" indent="1"/>
    </xf>
    <xf numFmtId="0" fontId="5" fillId="9" borderId="1" xfId="4" applyFont="1" applyFill="1" applyBorder="1" applyAlignment="1" applyProtection="1">
      <alignment horizontal="center" vertical="center" wrapText="1"/>
      <protection locked="0"/>
    </xf>
    <xf numFmtId="164" fontId="5" fillId="9" borderId="1" xfId="4" applyNumberFormat="1" applyFont="1" applyFill="1" applyBorder="1" applyAlignment="1" applyProtection="1">
      <alignment horizontal="center" vertical="center" wrapText="1"/>
      <protection locked="0"/>
    </xf>
    <xf numFmtId="0" fontId="5" fillId="16" borderId="1" xfId="0" applyFont="1" applyFill="1" applyBorder="1" applyAlignment="1">
      <alignment horizontal="center" vertical="center" wrapText="1"/>
    </xf>
    <xf numFmtId="0" fontId="8" fillId="15" borderId="0" xfId="0" applyFont="1" applyFill="1"/>
    <xf numFmtId="0" fontId="38" fillId="0" borderId="0" xfId="0" applyFont="1"/>
    <xf numFmtId="0" fontId="6" fillId="5" borderId="1" xfId="3" applyFont="1" applyFill="1" applyAlignment="1">
      <alignment horizontal="left" vertical="center" wrapText="1" indent="1"/>
    </xf>
    <xf numFmtId="0" fontId="6" fillId="5" borderId="1" xfId="3" applyFont="1" applyFill="1" applyBorder="1" applyAlignment="1">
      <alignment horizontal="left" vertical="center" wrapText="1" indent="1"/>
    </xf>
    <xf numFmtId="0" fontId="6" fillId="5" borderId="2" xfId="3" applyFont="1" applyFill="1" applyBorder="1" applyAlignment="1">
      <alignment horizontal="left" vertical="center" wrapText="1" indent="1"/>
    </xf>
    <xf numFmtId="0" fontId="39" fillId="9" borderId="2" xfId="1" applyFont="1" applyFill="1" applyBorder="1" applyAlignment="1" applyProtection="1">
      <alignment horizontal="center" vertical="center" wrapText="1"/>
      <protection locked="0"/>
    </xf>
    <xf numFmtId="0" fontId="6" fillId="0" borderId="35" xfId="3" applyFont="1" applyFill="1" applyBorder="1" applyAlignment="1">
      <alignment horizontal="left" vertical="center" wrapText="1" indent="1"/>
    </xf>
    <xf numFmtId="165" fontId="6" fillId="5" borderId="1" xfId="3" applyNumberFormat="1" applyFont="1" applyFill="1" applyAlignment="1" applyProtection="1">
      <alignment horizontal="left" vertical="center" wrapText="1" indent="1"/>
      <protection hidden="1"/>
    </xf>
    <xf numFmtId="0" fontId="6" fillId="5" borderId="1" xfId="3" applyFont="1" applyFill="1" applyAlignment="1">
      <alignment horizontal="left" vertical="center" indent="1"/>
    </xf>
    <xf numFmtId="0" fontId="39" fillId="9" borderId="1" xfId="1" applyFont="1" applyFill="1" applyBorder="1" applyAlignment="1" applyProtection="1">
      <alignment horizontal="center" vertical="center" wrapText="1"/>
      <protection locked="0"/>
    </xf>
    <xf numFmtId="0" fontId="8" fillId="5" borderId="0" xfId="0" applyFont="1" applyFill="1"/>
    <xf numFmtId="0" fontId="8" fillId="9" borderId="0" xfId="0" applyFont="1" applyFill="1"/>
    <xf numFmtId="0" fontId="11" fillId="15" borderId="1" xfId="0" applyFont="1" applyFill="1" applyBorder="1"/>
    <xf numFmtId="0" fontId="17" fillId="15" borderId="1" xfId="0" applyFont="1" applyFill="1" applyBorder="1"/>
    <xf numFmtId="0" fontId="19" fillId="15" borderId="1" xfId="0" applyFont="1" applyFill="1" applyBorder="1" applyAlignment="1">
      <alignment horizontal="center" vertical="center" wrapText="1"/>
    </xf>
    <xf numFmtId="0" fontId="11" fillId="15" borderId="1" xfId="0" applyFont="1" applyFill="1" applyBorder="1" applyAlignment="1">
      <alignment horizontal="center" vertical="center" wrapText="1"/>
    </xf>
    <xf numFmtId="0" fontId="11" fillId="15" borderId="1" xfId="3" applyFont="1" applyFill="1" applyBorder="1" applyAlignment="1">
      <alignment horizontal="center" vertical="center" wrapText="1"/>
    </xf>
    <xf numFmtId="172" fontId="11" fillId="15" borderId="17" xfId="0" applyNumberFormat="1" applyFont="1" applyFill="1" applyBorder="1" applyAlignment="1">
      <alignment horizontal="center" vertical="center" wrapText="1"/>
    </xf>
    <xf numFmtId="0" fontId="11" fillId="15" borderId="17" xfId="0" applyFont="1" applyFill="1" applyBorder="1" applyAlignment="1">
      <alignment horizontal="center" vertical="center" wrapText="1"/>
    </xf>
    <xf numFmtId="0" fontId="0" fillId="2" borderId="1" xfId="3" applyFont="1" applyFill="1" applyBorder="1" applyAlignment="1" applyProtection="1">
      <alignment horizontal="center" vertical="center" wrapText="1"/>
      <protection hidden="1"/>
    </xf>
    <xf numFmtId="0" fontId="0" fillId="2" borderId="1" xfId="3" applyFont="1" applyFill="1" applyBorder="1" applyAlignment="1">
      <alignment horizontal="center" vertical="center" wrapText="1"/>
    </xf>
    <xf numFmtId="164" fontId="12" fillId="14" borderId="1" xfId="0" applyNumberFormat="1" applyFont="1" applyFill="1" applyBorder="1" applyAlignment="1" applyProtection="1">
      <alignment horizontal="center" vertical="center"/>
      <protection hidden="1"/>
    </xf>
    <xf numFmtId="168" fontId="12" fillId="14" borderId="1" xfId="5" applyNumberFormat="1" applyFont="1" applyFill="1" applyBorder="1" applyAlignment="1" applyProtection="1">
      <alignment horizontal="center" vertical="center"/>
      <protection hidden="1"/>
    </xf>
    <xf numFmtId="165" fontId="12" fillId="14" borderId="1" xfId="0" applyNumberFormat="1" applyFont="1" applyFill="1" applyBorder="1" applyAlignment="1" applyProtection="1">
      <alignment horizontal="center" vertical="center"/>
      <protection hidden="1"/>
    </xf>
    <xf numFmtId="164" fontId="12" fillId="14" borderId="2" xfId="0" applyNumberFormat="1" applyFont="1" applyFill="1" applyBorder="1" applyAlignment="1" applyProtection="1">
      <alignment horizontal="center" vertical="center"/>
      <protection hidden="1"/>
    </xf>
    <xf numFmtId="168" fontId="12" fillId="14" borderId="2" xfId="5" applyNumberFormat="1" applyFont="1" applyFill="1" applyBorder="1" applyAlignment="1" applyProtection="1">
      <alignment horizontal="center" vertical="center"/>
      <protection hidden="1"/>
    </xf>
    <xf numFmtId="167" fontId="12" fillId="14" borderId="2" xfId="0" applyNumberFormat="1" applyFont="1" applyFill="1" applyBorder="1" applyAlignment="1" applyProtection="1">
      <alignment horizontal="center" vertical="center"/>
      <protection hidden="1"/>
    </xf>
    <xf numFmtId="165" fontId="12" fillId="14" borderId="0" xfId="0" applyNumberFormat="1" applyFont="1" applyFill="1" applyAlignment="1" applyProtection="1">
      <alignment horizontal="center" vertical="center"/>
      <protection hidden="1"/>
    </xf>
    <xf numFmtId="0" fontId="0" fillId="2" borderId="1" xfId="3" applyFont="1" applyFill="1" applyBorder="1" applyAlignment="1">
      <alignment horizontal="center" vertical="center"/>
    </xf>
    <xf numFmtId="0" fontId="0" fillId="2" borderId="1" xfId="3" applyFont="1" applyFill="1" applyBorder="1" applyAlignment="1">
      <alignment horizontal="left" vertical="center" wrapText="1"/>
    </xf>
    <xf numFmtId="0" fontId="11" fillId="15" borderId="18" xfId="0" applyFont="1" applyFill="1" applyBorder="1" applyAlignment="1">
      <alignment horizontal="center" vertical="center" wrapText="1"/>
    </xf>
    <xf numFmtId="0" fontId="11" fillId="15" borderId="24" xfId="0" applyFont="1" applyFill="1" applyBorder="1" applyAlignment="1">
      <alignment horizontal="center" vertical="center" wrapText="1"/>
    </xf>
    <xf numFmtId="0" fontId="11" fillId="15" borderId="17" xfId="3" applyFont="1" applyFill="1" applyBorder="1" applyAlignment="1">
      <alignment horizontal="center" vertical="center" wrapText="1"/>
    </xf>
    <xf numFmtId="166" fontId="11" fillId="15" borderId="17" xfId="5" applyNumberFormat="1" applyFont="1" applyFill="1" applyBorder="1" applyAlignment="1" applyProtection="1">
      <alignment horizontal="center" vertical="center" wrapText="1"/>
    </xf>
    <xf numFmtId="168" fontId="11" fillId="15" borderId="17" xfId="0" applyNumberFormat="1" applyFont="1" applyFill="1" applyBorder="1" applyAlignment="1">
      <alignment horizontal="center" vertical="center" wrapText="1"/>
    </xf>
    <xf numFmtId="164" fontId="11" fillId="15" borderId="17" xfId="0" applyNumberFormat="1" applyFont="1" applyFill="1" applyBorder="1" applyAlignment="1">
      <alignment horizontal="center" vertical="center" wrapText="1"/>
    </xf>
    <xf numFmtId="167" fontId="11" fillId="15" borderId="17" xfId="0" applyNumberFormat="1" applyFont="1" applyFill="1" applyBorder="1" applyAlignment="1">
      <alignment horizontal="center" vertical="center" wrapText="1"/>
    </xf>
    <xf numFmtId="165" fontId="11" fillId="15" borderId="17" xfId="0" applyNumberFormat="1" applyFont="1" applyFill="1" applyBorder="1" applyAlignment="1">
      <alignment horizontal="center" vertical="center" wrapText="1"/>
    </xf>
    <xf numFmtId="167" fontId="12" fillId="14" borderId="1" xfId="0" applyNumberFormat="1" applyFont="1" applyFill="1" applyBorder="1" applyAlignment="1" applyProtection="1">
      <alignment horizontal="center" vertical="center"/>
      <protection hidden="1"/>
    </xf>
    <xf numFmtId="0" fontId="0" fillId="2" borderId="17" xfId="3" applyFont="1" applyFill="1" applyBorder="1" applyAlignment="1">
      <alignment horizontal="left" vertical="center" wrapText="1"/>
    </xf>
    <xf numFmtId="0" fontId="5" fillId="5" borderId="3" xfId="4" applyFont="1" applyFill="1" applyBorder="1" applyAlignment="1" applyProtection="1">
      <alignment horizontal="center" vertical="center" wrapText="1"/>
      <protection locked="0"/>
    </xf>
    <xf numFmtId="0" fontId="5" fillId="5" borderId="1" xfId="4" applyFont="1" applyFill="1" applyBorder="1" applyAlignment="1" applyProtection="1">
      <alignment horizontal="center" vertical="center" wrapText="1"/>
      <protection locked="0"/>
    </xf>
    <xf numFmtId="171" fontId="5" fillId="5" borderId="1" xfId="5" applyNumberFormat="1" applyFont="1" applyFill="1" applyBorder="1" applyAlignment="1" applyProtection="1">
      <alignment horizontal="center" vertical="center" wrapText="1"/>
      <protection locked="0"/>
    </xf>
    <xf numFmtId="170" fontId="5" fillId="5" borderId="1" xfId="5" applyNumberFormat="1" applyFont="1" applyFill="1" applyBorder="1" applyAlignment="1" applyProtection="1">
      <alignment horizontal="center" vertical="center" wrapText="1"/>
      <protection locked="0"/>
    </xf>
    <xf numFmtId="164" fontId="5" fillId="5" borderId="9" xfId="4" applyNumberFormat="1" applyFont="1" applyFill="1" applyBorder="1" applyAlignment="1" applyProtection="1">
      <alignment horizontal="center" vertical="center" wrapText="1"/>
      <protection locked="0"/>
    </xf>
    <xf numFmtId="171" fontId="6" fillId="9" borderId="5" xfId="5" applyNumberFormat="1" applyFont="1" applyFill="1" applyBorder="1" applyAlignment="1" applyProtection="1">
      <alignment horizontal="center" vertical="center" wrapText="1"/>
      <protection hidden="1"/>
    </xf>
    <xf numFmtId="170" fontId="6" fillId="9" borderId="7" xfId="5" applyNumberFormat="1" applyFont="1" applyFill="1" applyBorder="1" applyAlignment="1" applyProtection="1">
      <alignment horizontal="center" vertical="center" wrapText="1"/>
      <protection hidden="1"/>
    </xf>
    <xf numFmtId="164" fontId="6" fillId="9" borderId="7" xfId="0" applyNumberFormat="1" applyFont="1" applyFill="1" applyBorder="1" applyAlignment="1" applyProtection="1">
      <alignment horizontal="center" vertical="center" wrapText="1"/>
      <protection hidden="1"/>
    </xf>
    <xf numFmtId="165" fontId="6" fillId="9" borderId="10" xfId="0" applyNumberFormat="1" applyFont="1" applyFill="1" applyBorder="1" applyAlignment="1" applyProtection="1">
      <alignment horizontal="center" vertical="center" wrapText="1"/>
      <protection hidden="1"/>
    </xf>
    <xf numFmtId="0" fontId="40" fillId="0" borderId="0" xfId="0" applyFont="1"/>
    <xf numFmtId="0" fontId="41" fillId="0" borderId="0" xfId="0" applyFont="1"/>
    <xf numFmtId="0" fontId="39" fillId="5" borderId="67" xfId="0" applyFont="1" applyFill="1" applyBorder="1" applyAlignment="1">
      <alignment horizontal="right" vertical="center"/>
    </xf>
    <xf numFmtId="0" fontId="44" fillId="0" borderId="0" xfId="0" applyFont="1"/>
    <xf numFmtId="0" fontId="39" fillId="5" borderId="68" xfId="0" applyFont="1" applyFill="1" applyBorder="1" applyAlignment="1">
      <alignment horizontal="right" vertical="center"/>
    </xf>
    <xf numFmtId="0" fontId="39" fillId="5" borderId="69" xfId="0" applyFont="1" applyFill="1" applyBorder="1" applyAlignment="1">
      <alignment horizontal="right" vertical="center"/>
    </xf>
    <xf numFmtId="0" fontId="44" fillId="0" borderId="25" xfId="0" applyFont="1" applyBorder="1"/>
    <xf numFmtId="0" fontId="45" fillId="0" borderId="0" xfId="0" applyFont="1"/>
    <xf numFmtId="0" fontId="43" fillId="0" borderId="0" xfId="0" applyFont="1"/>
    <xf numFmtId="0" fontId="39" fillId="0" borderId="0" xfId="0" applyFont="1"/>
    <xf numFmtId="0" fontId="43" fillId="5" borderId="1" xfId="0" applyFont="1" applyFill="1" applyBorder="1" applyAlignment="1">
      <alignment wrapText="1"/>
    </xf>
    <xf numFmtId="0" fontId="43" fillId="5" borderId="1" xfId="0" applyFont="1" applyFill="1" applyBorder="1" applyAlignment="1">
      <alignment horizontal="right" wrapText="1"/>
    </xf>
    <xf numFmtId="0" fontId="42" fillId="15" borderId="1" xfId="0" applyFont="1" applyFill="1" applyBorder="1"/>
    <xf numFmtId="164" fontId="46" fillId="15" borderId="1" xfId="0" applyNumberFormat="1" applyFont="1" applyFill="1" applyBorder="1" applyAlignment="1">
      <alignment horizontal="right"/>
    </xf>
    <xf numFmtId="3" fontId="46" fillId="15" borderId="1" xfId="0" applyNumberFormat="1" applyFont="1" applyFill="1" applyBorder="1" applyAlignment="1">
      <alignment horizontal="right"/>
    </xf>
    <xf numFmtId="0" fontId="43" fillId="5" borderId="26" xfId="0" applyFont="1" applyFill="1" applyBorder="1" applyAlignment="1">
      <alignment vertical="center"/>
    </xf>
    <xf numFmtId="0" fontId="43" fillId="5" borderId="27" xfId="0" applyFont="1" applyFill="1" applyBorder="1" applyAlignment="1">
      <alignment vertical="center"/>
    </xf>
    <xf numFmtId="0" fontId="43" fillId="5" borderId="29" xfId="0" applyFont="1" applyFill="1" applyBorder="1" applyAlignment="1">
      <alignment vertical="center"/>
    </xf>
    <xf numFmtId="0" fontId="43" fillId="5" borderId="30" xfId="0" applyFont="1" applyFill="1" applyBorder="1" applyAlignment="1">
      <alignment vertical="center"/>
    </xf>
    <xf numFmtId="0" fontId="43" fillId="5" borderId="32" xfId="0" applyFont="1" applyFill="1" applyBorder="1" applyAlignment="1">
      <alignment vertical="center"/>
    </xf>
    <xf numFmtId="0" fontId="43" fillId="5" borderId="25" xfId="0" applyFont="1" applyFill="1" applyBorder="1" applyAlignment="1">
      <alignment vertical="center"/>
    </xf>
    <xf numFmtId="0" fontId="43" fillId="0" borderId="25" xfId="0" applyFont="1" applyBorder="1"/>
    <xf numFmtId="0" fontId="32" fillId="0" borderId="0" xfId="0" applyFont="1"/>
    <xf numFmtId="0" fontId="42" fillId="15" borderId="0" xfId="0" applyFont="1" applyFill="1"/>
    <xf numFmtId="0" fontId="43" fillId="0" borderId="0" xfId="0" applyFont="1" applyProtection="1">
      <protection locked="0"/>
    </xf>
    <xf numFmtId="0" fontId="46" fillId="0" borderId="0" xfId="0" applyFont="1"/>
    <xf numFmtId="0" fontId="49" fillId="0" borderId="0" xfId="0" applyFont="1" applyAlignment="1">
      <alignment horizontal="left" indent="1"/>
    </xf>
    <xf numFmtId="0" fontId="51" fillId="0" borderId="0" xfId="0" applyFont="1"/>
    <xf numFmtId="0" fontId="17" fillId="15" borderId="1" xfId="0" applyFont="1" applyFill="1" applyBorder="1" applyAlignment="1">
      <alignment horizontal="center" vertical="center"/>
    </xf>
    <xf numFmtId="3" fontId="17" fillId="15" borderId="1" xfId="0" applyNumberFormat="1" applyFont="1" applyFill="1" applyBorder="1" applyAlignment="1">
      <alignment horizontal="center" vertical="center"/>
    </xf>
    <xf numFmtId="9" fontId="0" fillId="5" borderId="1" xfId="2" applyFont="1" applyFill="1" applyBorder="1" applyProtection="1"/>
    <xf numFmtId="0" fontId="0" fillId="5" borderId="1" xfId="2" applyNumberFormat="1" applyFont="1" applyFill="1" applyBorder="1" applyProtection="1"/>
    <xf numFmtId="0" fontId="0" fillId="0" borderId="0" xfId="0" applyFont="1"/>
    <xf numFmtId="0" fontId="17" fillId="15" borderId="47" xfId="0" applyFont="1" applyFill="1" applyBorder="1" applyAlignment="1">
      <alignment horizontal="centerContinuous"/>
    </xf>
    <xf numFmtId="0" fontId="17" fillId="15" borderId="48" xfId="0" applyFont="1" applyFill="1" applyBorder="1" applyAlignment="1">
      <alignment horizontal="centerContinuous"/>
    </xf>
    <xf numFmtId="0" fontId="17" fillId="15" borderId="49" xfId="0" applyFont="1" applyFill="1" applyBorder="1" applyAlignment="1">
      <alignment horizontal="centerContinuous"/>
    </xf>
    <xf numFmtId="0" fontId="17" fillId="15" borderId="56" xfId="0" applyFont="1" applyFill="1" applyBorder="1" applyAlignment="1">
      <alignment horizontal="centerContinuous"/>
    </xf>
    <xf numFmtId="0" fontId="17" fillId="15" borderId="16" xfId="0" applyFont="1" applyFill="1" applyBorder="1" applyAlignment="1">
      <alignment horizontal="centerContinuous"/>
    </xf>
    <xf numFmtId="0" fontId="17" fillId="15" borderId="57" xfId="0" applyFont="1" applyFill="1" applyBorder="1" applyAlignment="1">
      <alignment horizontal="centerContinuous"/>
    </xf>
    <xf numFmtId="0" fontId="0" fillId="2" borderId="52" xfId="0" applyFill="1" applyBorder="1" applyAlignment="1">
      <alignment horizontal="centerContinuous"/>
    </xf>
    <xf numFmtId="0" fontId="0" fillId="2" borderId="36" xfId="0" applyFill="1" applyBorder="1" applyAlignment="1">
      <alignment horizontal="centerContinuous"/>
    </xf>
    <xf numFmtId="0" fontId="0" fillId="2" borderId="53" xfId="0" applyFill="1" applyBorder="1" applyAlignment="1">
      <alignment horizontal="centerContinuous"/>
    </xf>
    <xf numFmtId="0" fontId="0" fillId="2" borderId="11" xfId="0" applyFill="1" applyBorder="1" applyAlignment="1">
      <alignment horizontal="centerContinuous"/>
    </xf>
    <xf numFmtId="0" fontId="0" fillId="2" borderId="3" xfId="0" applyFill="1" applyBorder="1" applyAlignment="1">
      <alignment horizontal="centerContinuous"/>
    </xf>
    <xf numFmtId="0" fontId="0" fillId="2" borderId="37" xfId="0" applyFill="1" applyBorder="1" applyAlignment="1">
      <alignment horizontal="centerContinuous"/>
    </xf>
    <xf numFmtId="0" fontId="0" fillId="2" borderId="12" xfId="0" applyFill="1" applyBorder="1" applyAlignment="1">
      <alignment horizontal="center" vertical="center"/>
    </xf>
    <xf numFmtId="3" fontId="0" fillId="2" borderId="52" xfId="0" applyNumberFormat="1" applyFill="1" applyBorder="1" applyAlignment="1">
      <alignment horizontal="centerContinuous"/>
    </xf>
    <xf numFmtId="14" fontId="0" fillId="2" borderId="52" xfId="0" applyNumberFormat="1" applyFill="1" applyBorder="1" applyAlignment="1">
      <alignment horizontal="centerContinuous"/>
    </xf>
    <xf numFmtId="0" fontId="0" fillId="2" borderId="58" xfId="0" applyFill="1" applyBorder="1" applyAlignment="1">
      <alignment horizontal="centerContinuous"/>
    </xf>
    <xf numFmtId="0" fontId="0" fillId="2" borderId="59" xfId="0" applyFill="1" applyBorder="1" applyAlignment="1">
      <alignment horizontal="centerContinuous"/>
    </xf>
    <xf numFmtId="0" fontId="0" fillId="5" borderId="52" xfId="0" applyFill="1" applyBorder="1" applyAlignment="1">
      <alignment horizontal="centerContinuous"/>
    </xf>
    <xf numFmtId="0" fontId="0" fillId="5" borderId="36" xfId="0" applyFill="1" applyBorder="1" applyAlignment="1">
      <alignment horizontal="centerContinuous"/>
    </xf>
    <xf numFmtId="0" fontId="0" fillId="5" borderId="53" xfId="0" applyFill="1" applyBorder="1" applyAlignment="1">
      <alignment horizontal="centerContinuous"/>
    </xf>
    <xf numFmtId="0" fontId="0" fillId="2" borderId="44" xfId="0" applyFill="1" applyBorder="1" applyAlignment="1">
      <alignment horizontal="centerContinuous"/>
    </xf>
    <xf numFmtId="0" fontId="0" fillId="2" borderId="45" xfId="0" applyFill="1" applyBorder="1" applyAlignment="1">
      <alignment horizontal="centerContinuous"/>
    </xf>
    <xf numFmtId="0" fontId="0" fillId="2" borderId="46" xfId="0" applyFill="1" applyBorder="1" applyAlignment="1">
      <alignment horizontal="centerContinuous"/>
    </xf>
    <xf numFmtId="0" fontId="21" fillId="0" borderId="39" xfId="0" applyFont="1" applyBorder="1"/>
    <xf numFmtId="0" fontId="0" fillId="0" borderId="40" xfId="0" applyFont="1" applyBorder="1"/>
    <xf numFmtId="0" fontId="0" fillId="0" borderId="0" xfId="0" applyFont="1" applyBorder="1"/>
    <xf numFmtId="0" fontId="29" fillId="15" borderId="44" xfId="0" applyFont="1" applyFill="1" applyBorder="1"/>
    <xf numFmtId="0" fontId="29" fillId="15" borderId="45" xfId="0" applyFont="1" applyFill="1" applyBorder="1"/>
    <xf numFmtId="0" fontId="17" fillId="15" borderId="2" xfId="0" applyFont="1" applyFill="1" applyBorder="1"/>
    <xf numFmtId="0" fontId="17" fillId="15" borderId="38" xfId="0" applyFont="1" applyFill="1" applyBorder="1"/>
    <xf numFmtId="0" fontId="0" fillId="15" borderId="1" xfId="0" applyFill="1" applyBorder="1" applyAlignment="1">
      <alignment horizontal="centerContinuous"/>
    </xf>
    <xf numFmtId="0" fontId="17" fillId="15" borderId="1" xfId="0" applyFont="1" applyFill="1" applyBorder="1" applyAlignment="1">
      <alignment horizontal="centerContinuous"/>
    </xf>
    <xf numFmtId="0" fontId="52" fillId="15" borderId="1" xfId="0" applyFont="1" applyFill="1" applyBorder="1" applyAlignment="1">
      <alignment horizontal="left"/>
    </xf>
    <xf numFmtId="0" fontId="52" fillId="15" borderId="1" xfId="0" applyFont="1" applyFill="1" applyBorder="1" applyAlignment="1">
      <alignment horizontal="center"/>
    </xf>
    <xf numFmtId="0" fontId="53" fillId="15" borderId="1" xfId="3" applyFont="1" applyFill="1" applyBorder="1" applyAlignment="1">
      <alignment horizontal="left" vertical="center" wrapText="1"/>
    </xf>
    <xf numFmtId="0" fontId="17" fillId="15" borderId="1" xfId="0" applyFont="1" applyFill="1" applyBorder="1" applyAlignment="1">
      <alignment horizontal="center"/>
    </xf>
    <xf numFmtId="0" fontId="0" fillId="15" borderId="14" xfId="0" applyFill="1" applyBorder="1"/>
    <xf numFmtId="0" fontId="54" fillId="0" borderId="0" xfId="7" applyFont="1" applyBorder="1"/>
    <xf numFmtId="0" fontId="20" fillId="0" borderId="0" xfId="7" applyBorder="1"/>
    <xf numFmtId="0" fontId="17" fillId="15" borderId="3" xfId="0" applyFont="1" applyFill="1" applyBorder="1" applyAlignment="1">
      <alignment horizontal="centerContinuous"/>
    </xf>
    <xf numFmtId="0" fontId="13" fillId="0" borderId="0" xfId="0" applyFont="1" applyBorder="1"/>
    <xf numFmtId="0" fontId="55" fillId="15" borderId="1" xfId="0" applyFont="1" applyFill="1" applyBorder="1"/>
    <xf numFmtId="0" fontId="55" fillId="15" borderId="13" xfId="0" applyFont="1" applyFill="1" applyBorder="1"/>
    <xf numFmtId="0" fontId="56" fillId="0" borderId="20" xfId="7" applyFont="1"/>
    <xf numFmtId="0" fontId="57" fillId="0" borderId="0" xfId="7" applyFont="1" applyBorder="1"/>
    <xf numFmtId="0" fontId="27" fillId="0" borderId="0" xfId="7" applyFont="1" applyBorder="1"/>
    <xf numFmtId="0" fontId="28" fillId="0" borderId="0" xfId="7" applyFont="1" applyBorder="1"/>
    <xf numFmtId="0" fontId="56" fillId="0" borderId="0" xfId="7" applyFont="1" applyBorder="1"/>
    <xf numFmtId="0" fontId="17" fillId="15" borderId="1" xfId="0" applyFont="1" applyFill="1" applyBorder="1" applyAlignment="1">
      <alignment horizontal="centerContinuous" wrapText="1"/>
    </xf>
    <xf numFmtId="0" fontId="17" fillId="15" borderId="1" xfId="0" applyFont="1" applyFill="1" applyBorder="1" applyAlignment="1">
      <alignment wrapText="1"/>
    </xf>
    <xf numFmtId="0" fontId="17" fillId="15" borderId="0" xfId="0" applyFont="1" applyFill="1" applyAlignment="1">
      <alignment wrapText="1"/>
    </xf>
    <xf numFmtId="0" fontId="13" fillId="14" borderId="1" xfId="0" applyFont="1" applyFill="1" applyBorder="1" applyAlignment="1">
      <alignment wrapText="1"/>
    </xf>
    <xf numFmtId="0" fontId="13" fillId="14" borderId="13" xfId="0" applyFont="1" applyFill="1" applyBorder="1" applyAlignment="1">
      <alignment wrapText="1"/>
    </xf>
    <xf numFmtId="0" fontId="13" fillId="14" borderId="16" xfId="0" applyFont="1" applyFill="1" applyBorder="1" applyAlignment="1">
      <alignment wrapText="1"/>
    </xf>
    <xf numFmtId="0" fontId="13" fillId="14" borderId="14" xfId="0" applyFont="1" applyFill="1" applyBorder="1" applyAlignment="1">
      <alignment wrapText="1"/>
    </xf>
    <xf numFmtId="0" fontId="13" fillId="14" borderId="1" xfId="2" applyNumberFormat="1" applyFont="1" applyFill="1" applyBorder="1"/>
    <xf numFmtId="172" fontId="13" fillId="14" borderId="1" xfId="2" applyNumberFormat="1" applyFont="1" applyFill="1" applyBorder="1"/>
    <xf numFmtId="165" fontId="12" fillId="14" borderId="2" xfId="0" applyNumberFormat="1" applyFont="1" applyFill="1" applyBorder="1" applyAlignment="1" applyProtection="1">
      <alignment horizontal="center" vertical="center"/>
      <protection hidden="1"/>
    </xf>
    <xf numFmtId="0" fontId="44" fillId="0" borderId="0" xfId="0" applyFont="1" applyAlignment="1">
      <alignment horizontal="center" vertical="center"/>
    </xf>
    <xf numFmtId="164" fontId="58" fillId="14" borderId="1" xfId="0" applyNumberFormat="1" applyFont="1" applyFill="1" applyBorder="1" applyAlignment="1" applyProtection="1">
      <alignment horizontal="center" vertical="center"/>
      <protection hidden="1"/>
    </xf>
    <xf numFmtId="168" fontId="58" fillId="14" borderId="1" xfId="5" applyNumberFormat="1" applyFont="1" applyFill="1" applyBorder="1" applyAlignment="1" applyProtection="1">
      <alignment horizontal="center" vertical="center"/>
      <protection hidden="1"/>
    </xf>
    <xf numFmtId="164" fontId="58" fillId="14" borderId="13" xfId="0" applyNumberFormat="1" applyFont="1" applyFill="1" applyBorder="1" applyAlignment="1" applyProtection="1">
      <alignment horizontal="center" vertical="center"/>
      <protection hidden="1"/>
    </xf>
    <xf numFmtId="165" fontId="58" fillId="14" borderId="1" xfId="0" applyNumberFormat="1" applyFont="1" applyFill="1" applyBorder="1" applyAlignment="1" applyProtection="1">
      <alignment horizontal="center" vertical="center"/>
      <protection hidden="1"/>
    </xf>
    <xf numFmtId="0" fontId="59" fillId="15" borderId="1" xfId="0" applyFont="1" applyFill="1" applyBorder="1" applyAlignment="1">
      <alignment horizontal="center" vertical="center" wrapText="1"/>
    </xf>
    <xf numFmtId="0" fontId="59" fillId="15" borderId="1" xfId="3" applyFont="1" applyFill="1" applyBorder="1" applyAlignment="1">
      <alignment horizontal="center" vertical="center" wrapText="1"/>
    </xf>
    <xf numFmtId="172" fontId="59" fillId="15" borderId="17" xfId="0" applyNumberFormat="1" applyFont="1" applyFill="1" applyBorder="1" applyAlignment="1">
      <alignment horizontal="center" vertical="center" wrapText="1"/>
    </xf>
    <xf numFmtId="0" fontId="59" fillId="15" borderId="17" xfId="0" applyFont="1" applyFill="1" applyBorder="1" applyAlignment="1">
      <alignment horizontal="center" vertical="center" wrapText="1"/>
    </xf>
    <xf numFmtId="0" fontId="8" fillId="0" borderId="0" xfId="0" applyFont="1" applyAlignment="1">
      <alignment vertical="center" wrapText="1"/>
    </xf>
    <xf numFmtId="0" fontId="8" fillId="2" borderId="1" xfId="3" applyFont="1" applyFill="1" applyBorder="1" applyAlignment="1" applyProtection="1">
      <alignment horizontal="center" vertical="center" wrapText="1"/>
      <protection hidden="1"/>
    </xf>
    <xf numFmtId="0" fontId="8" fillId="2" borderId="1" xfId="3" applyFont="1" applyFill="1" applyBorder="1" applyAlignment="1">
      <alignment horizontal="center" vertical="center" wrapText="1"/>
    </xf>
    <xf numFmtId="164" fontId="8" fillId="2" borderId="1" xfId="0" applyNumberFormat="1" applyFont="1" applyFill="1" applyBorder="1" applyAlignment="1">
      <alignment horizontal="center" vertical="center"/>
    </xf>
    <xf numFmtId="164" fontId="8" fillId="5" borderId="1" xfId="0" applyNumberFormat="1"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hidden="1"/>
    </xf>
    <xf numFmtId="164" fontId="8" fillId="2" borderId="1" xfId="0" applyNumberFormat="1" applyFont="1" applyFill="1" applyBorder="1" applyAlignment="1" applyProtection="1">
      <alignment horizontal="center" vertical="center" wrapText="1"/>
      <protection hidden="1"/>
    </xf>
    <xf numFmtId="0" fontId="8" fillId="0" borderId="0" xfId="0" applyFont="1" applyAlignment="1">
      <alignment vertical="center"/>
    </xf>
    <xf numFmtId="0" fontId="8" fillId="5" borderId="1" xfId="3" applyFont="1" applyFill="1" applyBorder="1" applyAlignment="1">
      <alignment horizontal="left" vertical="center" wrapText="1"/>
    </xf>
    <xf numFmtId="3" fontId="8" fillId="5" borderId="1" xfId="0" applyNumberFormat="1" applyFont="1" applyFill="1" applyBorder="1" applyAlignment="1" applyProtection="1">
      <alignment horizontal="center" vertical="center" wrapText="1"/>
      <protection locked="0"/>
    </xf>
    <xf numFmtId="3" fontId="61" fillId="2" borderId="1" xfId="0" applyNumberFormat="1" applyFont="1" applyFill="1" applyBorder="1" applyAlignment="1">
      <alignment horizontal="center" vertical="center"/>
    </xf>
    <xf numFmtId="164" fontId="60" fillId="2" borderId="1" xfId="6" applyNumberFormat="1" applyFont="1" applyFill="1" applyBorder="1" applyAlignment="1" applyProtection="1">
      <alignment horizontal="center" vertical="center" wrapText="1"/>
      <protection hidden="1"/>
    </xf>
    <xf numFmtId="168" fontId="60" fillId="2" borderId="1" xfId="6" applyNumberFormat="1" applyFont="1" applyFill="1" applyBorder="1" applyAlignment="1" applyProtection="1">
      <alignment horizontal="center" vertical="center"/>
      <protection hidden="1"/>
    </xf>
    <xf numFmtId="164" fontId="60" fillId="2" borderId="1" xfId="6" applyNumberFormat="1" applyFont="1" applyFill="1" applyBorder="1" applyAlignment="1" applyProtection="1">
      <alignment horizontal="center" vertical="center"/>
      <protection hidden="1"/>
    </xf>
    <xf numFmtId="167" fontId="60" fillId="2" borderId="1" xfId="6" applyNumberFormat="1" applyFont="1" applyFill="1" applyBorder="1" applyAlignment="1" applyProtection="1">
      <alignment horizontal="center" vertical="center" wrapText="1"/>
      <protection hidden="1"/>
    </xf>
    <xf numFmtId="165" fontId="60" fillId="2" borderId="1" xfId="6" applyNumberFormat="1" applyFont="1" applyFill="1" applyBorder="1" applyAlignment="1" applyProtection="1">
      <alignment horizontal="center" vertical="center"/>
      <protection hidden="1"/>
    </xf>
    <xf numFmtId="164" fontId="8" fillId="2" borderId="1" xfId="0" applyNumberFormat="1" applyFont="1" applyFill="1" applyBorder="1" applyAlignment="1">
      <alignment horizontal="center" vertical="center" wrapText="1"/>
    </xf>
    <xf numFmtId="1" fontId="39" fillId="2" borderId="1" xfId="0" applyNumberFormat="1" applyFont="1" applyFill="1" applyBorder="1" applyAlignment="1" applyProtection="1">
      <alignment horizontal="center" vertical="center" wrapText="1"/>
      <protection hidden="1"/>
    </xf>
    <xf numFmtId="0" fontId="8" fillId="0" borderId="0" xfId="0" applyFont="1" applyAlignment="1">
      <alignment horizontal="center" vertical="center"/>
    </xf>
    <xf numFmtId="0" fontId="0" fillId="18" borderId="1" xfId="0" applyFill="1" applyBorder="1"/>
    <xf numFmtId="0" fontId="0" fillId="18" borderId="1" xfId="0" applyFill="1" applyBorder="1" applyAlignment="1">
      <alignment vertical="center"/>
    </xf>
    <xf numFmtId="165" fontId="0" fillId="18" borderId="1" xfId="0" applyNumberFormat="1" applyFill="1" applyBorder="1"/>
    <xf numFmtId="2" fontId="0" fillId="18" borderId="1" xfId="0" applyNumberFormat="1" applyFill="1" applyBorder="1"/>
    <xf numFmtId="165" fontId="0" fillId="0" borderId="1" xfId="0" applyNumberFormat="1" applyFill="1" applyBorder="1"/>
    <xf numFmtId="0" fontId="5" fillId="0" borderId="17" xfId="3" applyFont="1" applyFill="1" applyBorder="1" applyAlignment="1">
      <alignment horizontal="left" vertical="center" wrapText="1"/>
    </xf>
    <xf numFmtId="0" fontId="5" fillId="0" borderId="13" xfId="3" applyFont="1" applyFill="1" applyBorder="1" applyAlignment="1">
      <alignment horizontal="left" vertical="center" wrapText="1"/>
    </xf>
    <xf numFmtId="0" fontId="22" fillId="0" borderId="1" xfId="0" applyFont="1" applyFill="1" applyBorder="1"/>
    <xf numFmtId="164" fontId="0" fillId="0" borderId="1" xfId="0" applyNumberFormat="1" applyFill="1" applyBorder="1"/>
    <xf numFmtId="0" fontId="0" fillId="0" borderId="1" xfId="0" applyBorder="1" applyAlignment="1">
      <alignment horizontal="right"/>
    </xf>
    <xf numFmtId="3" fontId="62" fillId="0" borderId="1" xfId="0" applyNumberFormat="1" applyFont="1" applyBorder="1"/>
    <xf numFmtId="3" fontId="35" fillId="0" borderId="1" xfId="0" applyNumberFormat="1" applyFont="1" applyBorder="1"/>
    <xf numFmtId="14" fontId="5" fillId="9" borderId="1" xfId="0" applyNumberFormat="1" applyFont="1" applyFill="1" applyBorder="1" applyAlignment="1" applyProtection="1">
      <alignment horizontal="center" vertical="center" wrapText="1"/>
      <protection locked="0"/>
    </xf>
    <xf numFmtId="0" fontId="5" fillId="9" borderId="1" xfId="0" applyFont="1" applyFill="1" applyBorder="1" applyAlignment="1" applyProtection="1">
      <alignment horizontal="center" vertical="center" wrapText="1"/>
      <protection locked="0"/>
    </xf>
    <xf numFmtId="3" fontId="5" fillId="9" borderId="1" xfId="0" applyNumberFormat="1" applyFont="1" applyFill="1" applyBorder="1" applyAlignment="1" applyProtection="1">
      <alignment horizontal="center" vertical="center" wrapText="1"/>
      <protection locked="0"/>
    </xf>
    <xf numFmtId="0" fontId="9" fillId="9" borderId="1" xfId="1"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32" fillId="9" borderId="1" xfId="0" applyFont="1" applyFill="1" applyBorder="1" applyAlignment="1" applyProtection="1">
      <alignment horizontal="center" vertical="center"/>
      <protection locked="0"/>
    </xf>
    <xf numFmtId="0" fontId="5" fillId="9" borderId="1" xfId="0" applyFont="1" applyFill="1" applyBorder="1" applyAlignment="1" applyProtection="1">
      <alignment horizontal="center" vertical="center"/>
      <protection locked="0"/>
    </xf>
    <xf numFmtId="0" fontId="32" fillId="9" borderId="1" xfId="0" applyFont="1" applyFill="1" applyBorder="1" applyAlignment="1" applyProtection="1">
      <alignment horizontal="center" vertical="center" wrapText="1"/>
      <protection locked="0"/>
    </xf>
    <xf numFmtId="0" fontId="5" fillId="0" borderId="3" xfId="0" applyFont="1" applyFill="1" applyBorder="1" applyAlignment="1">
      <alignment horizontal="center" vertical="center" wrapText="1"/>
    </xf>
    <xf numFmtId="164" fontId="0" fillId="0" borderId="1" xfId="8" applyNumberFormat="1" applyFont="1" applyFill="1" applyBorder="1"/>
    <xf numFmtId="164" fontId="13" fillId="2" borderId="1" xfId="6" applyNumberFormat="1" applyFont="1" applyFill="1" applyBorder="1" applyAlignment="1">
      <alignment horizontal="center" vertical="center"/>
    </xf>
    <xf numFmtId="164" fontId="13" fillId="2" borderId="1" xfId="6" applyNumberFormat="1" applyFont="1" applyFill="1" applyBorder="1" applyAlignment="1" applyProtection="1">
      <alignment horizontal="center" vertical="center"/>
      <protection hidden="1"/>
    </xf>
    <xf numFmtId="170" fontId="13" fillId="2" borderId="1" xfId="6" applyNumberFormat="1" applyFont="1" applyFill="1" applyBorder="1" applyAlignment="1" applyProtection="1">
      <alignment horizontal="center" vertical="center"/>
      <protection hidden="1"/>
    </xf>
    <xf numFmtId="171" fontId="13" fillId="2" borderId="1" xfId="6" applyNumberFormat="1" applyFont="1" applyFill="1" applyBorder="1" applyAlignment="1" applyProtection="1">
      <alignment horizontal="center" vertical="center"/>
      <protection hidden="1"/>
    </xf>
    <xf numFmtId="164" fontId="31" fillId="2" borderId="1" xfId="6" applyNumberFormat="1" applyFont="1" applyFill="1" applyBorder="1" applyAlignment="1">
      <alignment horizontal="center" vertical="center"/>
    </xf>
    <xf numFmtId="164" fontId="31" fillId="2" borderId="1" xfId="6" applyNumberFormat="1" applyFont="1" applyFill="1" applyBorder="1" applyAlignment="1" applyProtection="1">
      <alignment horizontal="center" vertical="center"/>
      <protection hidden="1"/>
    </xf>
    <xf numFmtId="170" fontId="31" fillId="2" borderId="1" xfId="6" applyNumberFormat="1" applyFont="1" applyFill="1" applyBorder="1" applyAlignment="1" applyProtection="1">
      <alignment horizontal="center" vertical="center"/>
      <protection hidden="1"/>
    </xf>
    <xf numFmtId="171" fontId="31" fillId="2" borderId="1" xfId="6" applyNumberFormat="1" applyFont="1" applyFill="1" applyBorder="1" applyAlignment="1" applyProtection="1">
      <alignment horizontal="center" vertical="center"/>
      <protection hidden="1"/>
    </xf>
    <xf numFmtId="0" fontId="8" fillId="0" borderId="1" xfId="0" applyNumberFormat="1" applyFont="1" applyFill="1" applyBorder="1" applyAlignment="1" applyProtection="1">
      <alignment horizontal="left" vertical="center" wrapText="1"/>
      <protection locked="0"/>
    </xf>
    <xf numFmtId="4" fontId="8" fillId="0" borderId="1" xfId="0" applyNumberFormat="1" applyFont="1" applyFill="1" applyBorder="1" applyAlignment="1" applyProtection="1">
      <alignment horizontal="center" vertical="center" wrapText="1"/>
      <protection locked="0"/>
    </xf>
    <xf numFmtId="170" fontId="8" fillId="0"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164" fontId="8" fillId="0" borderId="1" xfId="0" applyNumberFormat="1" applyFont="1" applyFill="1" applyBorder="1" applyAlignment="1" applyProtection="1">
      <alignment horizontal="center" vertical="center" wrapText="1"/>
      <protection locked="0"/>
    </xf>
    <xf numFmtId="0" fontId="8" fillId="0" borderId="1" xfId="3" applyFont="1" applyFill="1" applyBorder="1" applyAlignment="1" applyProtection="1">
      <alignment horizontal="left" vertical="center" wrapText="1"/>
      <protection locked="0"/>
    </xf>
    <xf numFmtId="3" fontId="8" fillId="0" borderId="1" xfId="0"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protection locked="0"/>
    </xf>
    <xf numFmtId="164" fontId="8" fillId="0" borderId="17" xfId="0" applyNumberFormat="1" applyFont="1" applyFill="1" applyBorder="1" applyAlignment="1" applyProtection="1">
      <alignment horizontal="center" vertical="center" wrapText="1"/>
      <protection locked="0"/>
    </xf>
    <xf numFmtId="1" fontId="8"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0" borderId="1" xfId="0" applyNumberFormat="1" applyFill="1" applyBorder="1" applyAlignment="1" applyProtection="1">
      <alignment horizontal="center" vertical="center" wrapText="1"/>
      <protection locked="0"/>
    </xf>
    <xf numFmtId="165" fontId="0" fillId="0" borderId="1" xfId="0" applyNumberFormat="1" applyFill="1" applyBorder="1" applyAlignment="1" applyProtection="1">
      <alignment horizontal="center" vertical="center" wrapText="1"/>
      <protection locked="0"/>
    </xf>
    <xf numFmtId="0" fontId="0" fillId="0" borderId="1" xfId="5" applyNumberFormat="1" applyFont="1" applyFill="1" applyBorder="1" applyAlignment="1" applyProtection="1">
      <alignment horizontal="center" vertical="center" wrapText="1"/>
      <protection locked="0"/>
    </xf>
    <xf numFmtId="164" fontId="10" fillId="2" borderId="15" xfId="6" applyNumberFormat="1" applyFill="1" applyAlignment="1" applyProtection="1">
      <alignment horizontal="center" vertical="center" wrapText="1"/>
      <protection hidden="1"/>
    </xf>
    <xf numFmtId="168" fontId="10" fillId="2" borderId="15" xfId="6" applyNumberFormat="1" applyFill="1" applyAlignment="1" applyProtection="1">
      <alignment horizontal="center" vertical="center" wrapText="1"/>
      <protection hidden="1"/>
    </xf>
    <xf numFmtId="167" fontId="10" fillId="2" borderId="15" xfId="6" applyNumberFormat="1" applyFill="1" applyAlignment="1" applyProtection="1">
      <alignment horizontal="center" vertical="center" wrapText="1"/>
      <protection hidden="1"/>
    </xf>
    <xf numFmtId="165" fontId="10" fillId="2" borderId="15" xfId="6" applyNumberFormat="1" applyFill="1" applyAlignment="1" applyProtection="1">
      <alignment horizontal="center" vertical="center" wrapText="1"/>
      <protection hidden="1"/>
    </xf>
    <xf numFmtId="164" fontId="10" fillId="2" borderId="1" xfId="6" applyNumberFormat="1" applyFill="1" applyBorder="1" applyAlignment="1" applyProtection="1">
      <alignment horizontal="center" vertical="center"/>
      <protection hidden="1"/>
    </xf>
    <xf numFmtId="168" fontId="10" fillId="2" borderId="1" xfId="6" applyNumberFormat="1" applyFill="1" applyBorder="1" applyAlignment="1" applyProtection="1">
      <alignment horizontal="center" vertical="center" wrapText="1"/>
      <protection hidden="1"/>
    </xf>
    <xf numFmtId="167" fontId="10" fillId="2" borderId="1" xfId="6" applyNumberFormat="1" applyFill="1" applyBorder="1" applyAlignment="1" applyProtection="1">
      <alignment horizontal="center" vertical="center"/>
      <protection hidden="1"/>
    </xf>
    <xf numFmtId="164" fontId="10" fillId="2" borderId="1" xfId="6" applyNumberFormat="1" applyFill="1" applyBorder="1" applyAlignment="1" applyProtection="1">
      <alignment horizontal="center" vertical="center" wrapText="1"/>
      <protection hidden="1"/>
    </xf>
    <xf numFmtId="165" fontId="10" fillId="2" borderId="1" xfId="6" applyNumberFormat="1" applyFill="1" applyBorder="1" applyAlignment="1" applyProtection="1">
      <alignment horizontal="center" vertical="center" wrapText="1"/>
      <protection hidden="1"/>
    </xf>
    <xf numFmtId="168" fontId="10" fillId="2" borderId="1" xfId="6" applyNumberFormat="1" applyFill="1" applyBorder="1" applyAlignment="1" applyProtection="1">
      <alignment horizontal="center" vertical="center"/>
      <protection hidden="1"/>
    </xf>
    <xf numFmtId="2" fontId="0" fillId="0" borderId="17" xfId="0" applyNumberFormat="1" applyFill="1" applyBorder="1" applyAlignment="1" applyProtection="1">
      <alignment horizontal="center" vertical="center"/>
      <protection locked="0"/>
    </xf>
    <xf numFmtId="2" fontId="0" fillId="0" borderId="17" xfId="0" applyNumberFormat="1" applyFill="1" applyBorder="1" applyAlignment="1" applyProtection="1">
      <alignment horizontal="center" wrapText="1"/>
      <protection locked="0"/>
    </xf>
    <xf numFmtId="0" fontId="0" fillId="0" borderId="17" xfId="0" applyFill="1" applyBorder="1" applyAlignment="1" applyProtection="1">
      <alignment horizontal="center" vertical="center" wrapText="1"/>
      <protection locked="0"/>
    </xf>
    <xf numFmtId="164" fontId="0" fillId="0" borderId="17" xfId="0" applyNumberFormat="1" applyFill="1" applyBorder="1" applyAlignment="1" applyProtection="1">
      <alignment horizontal="center" vertical="center" wrapText="1"/>
      <protection locked="0"/>
    </xf>
    <xf numFmtId="2" fontId="0" fillId="0" borderId="17" xfId="0" applyNumberFormat="1" applyFill="1" applyBorder="1" applyAlignment="1" applyProtection="1">
      <alignment horizontal="center" vertical="center" wrapText="1"/>
      <protection locked="0"/>
    </xf>
    <xf numFmtId="168" fontId="10" fillId="2" borderId="15" xfId="6" applyNumberFormat="1" applyFill="1" applyAlignment="1" applyProtection="1">
      <alignment horizontal="center" vertical="center"/>
      <protection hidden="1"/>
    </xf>
    <xf numFmtId="164" fontId="10" fillId="2" borderId="15" xfId="6" applyNumberFormat="1" applyFill="1" applyAlignment="1" applyProtection="1">
      <alignment horizontal="center" vertical="center"/>
      <protection hidden="1"/>
    </xf>
    <xf numFmtId="167" fontId="10" fillId="2" borderId="15" xfId="6" applyNumberFormat="1" applyFill="1" applyAlignment="1" applyProtection="1">
      <alignment horizontal="center" vertical="center"/>
      <protection hidden="1"/>
    </xf>
    <xf numFmtId="164" fontId="10" fillId="2" borderId="78" xfId="6" applyNumberFormat="1" applyFill="1" applyBorder="1" applyAlignment="1" applyProtection="1">
      <alignment horizontal="center" vertical="center" wrapText="1"/>
      <protection hidden="1"/>
    </xf>
    <xf numFmtId="0" fontId="43" fillId="5" borderId="1" xfId="0" applyFont="1" applyFill="1" applyBorder="1"/>
    <xf numFmtId="164" fontId="43" fillId="5" borderId="1" xfId="0" applyNumberFormat="1" applyFont="1" applyFill="1" applyBorder="1" applyAlignment="1" applyProtection="1">
      <alignment horizontal="right"/>
      <protection hidden="1"/>
    </xf>
    <xf numFmtId="0" fontId="43" fillId="0" borderId="27" xfId="0" applyFont="1" applyFill="1" applyBorder="1" applyAlignment="1" applyProtection="1">
      <alignment vertical="center"/>
      <protection locked="0"/>
    </xf>
    <xf numFmtId="0" fontId="43" fillId="0" borderId="28" xfId="0" applyFont="1" applyFill="1" applyBorder="1" applyAlignment="1" applyProtection="1">
      <alignment vertical="center"/>
      <protection locked="0"/>
    </xf>
    <xf numFmtId="0" fontId="43" fillId="0" borderId="31" xfId="0" applyFont="1" applyFill="1" applyBorder="1" applyAlignment="1" applyProtection="1">
      <alignment vertical="center"/>
      <protection locked="0"/>
    </xf>
    <xf numFmtId="0" fontId="43" fillId="0" borderId="30" xfId="0" applyFont="1" applyFill="1" applyBorder="1" applyAlignment="1" applyProtection="1">
      <alignment vertical="center"/>
      <protection locked="0"/>
    </xf>
    <xf numFmtId="0" fontId="43" fillId="0" borderId="33" xfId="0" applyFont="1" applyFill="1" applyBorder="1" applyAlignment="1" applyProtection="1">
      <alignment vertical="center"/>
      <protection locked="0"/>
    </xf>
    <xf numFmtId="0" fontId="43" fillId="0" borderId="25" xfId="0" applyFont="1" applyFill="1" applyBorder="1" applyAlignment="1" applyProtection="1">
      <alignment vertical="center"/>
      <protection locked="0"/>
    </xf>
    <xf numFmtId="3" fontId="43" fillId="5" borderId="1" xfId="0" applyNumberFormat="1" applyFont="1" applyFill="1" applyBorder="1" applyAlignment="1" applyProtection="1">
      <alignment horizontal="right"/>
      <protection hidden="1"/>
    </xf>
    <xf numFmtId="0" fontId="45" fillId="5" borderId="1" xfId="0" applyFont="1" applyFill="1" applyBorder="1"/>
    <xf numFmtId="164" fontId="45" fillId="5" borderId="1" xfId="0" applyNumberFormat="1" applyFont="1" applyFill="1" applyBorder="1" applyAlignment="1" applyProtection="1">
      <alignment horizontal="right"/>
      <protection hidden="1"/>
    </xf>
    <xf numFmtId="3" fontId="45" fillId="5" borderId="1" xfId="0" applyNumberFormat="1" applyFont="1" applyFill="1" applyBorder="1" applyAlignment="1" applyProtection="1">
      <alignment horizontal="right"/>
      <protection hidden="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wrapText="1"/>
    </xf>
    <xf numFmtId="0" fontId="5" fillId="9" borderId="2" xfId="0" applyFont="1"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0" fontId="8" fillId="0" borderId="0" xfId="0" applyFont="1" applyAlignment="1">
      <alignment wrapText="1"/>
    </xf>
    <xf numFmtId="0" fontId="8"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9" fillId="2" borderId="1" xfId="1" applyFont="1" applyFill="1" applyBorder="1" applyAlignment="1">
      <alignment horizontal="left" vertical="top" wrapText="1"/>
    </xf>
    <xf numFmtId="0" fontId="8" fillId="2" borderId="1" xfId="0" applyFont="1" applyFill="1" applyBorder="1" applyAlignment="1">
      <alignment horizontal="left" vertical="top" wrapText="1"/>
    </xf>
    <xf numFmtId="0" fontId="4" fillId="15" borderId="1" xfId="0" applyFont="1" applyFill="1" applyBorder="1" applyAlignment="1">
      <alignment horizontal="left" vertical="center" wrapText="1"/>
    </xf>
    <xf numFmtId="0" fontId="4" fillId="15" borderId="21" xfId="0" applyFont="1" applyFill="1" applyBorder="1" applyAlignment="1">
      <alignment horizontal="left" vertical="center" wrapText="1"/>
    </xf>
    <xf numFmtId="0" fontId="4" fillId="15" borderId="22" xfId="0" applyFont="1" applyFill="1" applyBorder="1" applyAlignment="1">
      <alignment horizontal="left" vertical="center" wrapText="1"/>
    </xf>
    <xf numFmtId="0" fontId="4" fillId="15" borderId="23" xfId="0" applyFont="1" applyFill="1" applyBorder="1" applyAlignment="1">
      <alignment horizontal="left" vertical="center" wrapText="1"/>
    </xf>
    <xf numFmtId="0" fontId="42" fillId="15" borderId="1" xfId="0" applyFont="1" applyFill="1" applyBorder="1" applyAlignment="1">
      <alignment horizontal="center" vertical="center" wrapText="1"/>
    </xf>
    <xf numFmtId="0" fontId="32" fillId="0" borderId="0" xfId="0" applyFont="1" applyAlignment="1">
      <alignment horizontal="left" vertical="top" wrapText="1"/>
    </xf>
    <xf numFmtId="0" fontId="39" fillId="0" borderId="0" xfId="0" applyFont="1" applyAlignment="1">
      <alignment horizontal="left" vertical="top" wrapText="1"/>
    </xf>
    <xf numFmtId="0" fontId="47" fillId="17" borderId="0" xfId="0" applyFont="1" applyFill="1" applyAlignment="1">
      <alignment wrapText="1"/>
    </xf>
    <xf numFmtId="0" fontId="42" fillId="17" borderId="0" xfId="0" applyFont="1" applyFill="1"/>
    <xf numFmtId="0" fontId="50" fillId="0" borderId="0" xfId="0" applyFont="1" applyAlignment="1">
      <alignment horizontal="left" wrapText="1"/>
    </xf>
    <xf numFmtId="0" fontId="42" fillId="15" borderId="61" xfId="0" applyFont="1" applyFill="1" applyBorder="1" applyAlignment="1">
      <alignment horizontal="center" vertical="center" wrapText="1"/>
    </xf>
    <xf numFmtId="0" fontId="42" fillId="15" borderId="62" xfId="0" applyFont="1" applyFill="1" applyBorder="1" applyAlignment="1">
      <alignment horizontal="center" vertical="center" wrapText="1"/>
    </xf>
    <xf numFmtId="0" fontId="42" fillId="15" borderId="65" xfId="0" applyFont="1" applyFill="1" applyBorder="1" applyAlignment="1">
      <alignment horizontal="center" vertical="center" wrapText="1"/>
    </xf>
    <xf numFmtId="0" fontId="43" fillId="5" borderId="70" xfId="0" applyFont="1" applyFill="1" applyBorder="1" applyAlignment="1" applyProtection="1">
      <alignment horizontal="center"/>
      <protection hidden="1"/>
    </xf>
    <xf numFmtId="0" fontId="43" fillId="5" borderId="71" xfId="0" applyFont="1" applyFill="1" applyBorder="1" applyAlignment="1" applyProtection="1">
      <alignment horizontal="center"/>
      <protection hidden="1"/>
    </xf>
    <xf numFmtId="0" fontId="43" fillId="5" borderId="72" xfId="0" applyFont="1" applyFill="1" applyBorder="1" applyAlignment="1" applyProtection="1">
      <alignment horizontal="center"/>
      <protection hidden="1"/>
    </xf>
    <xf numFmtId="0" fontId="43" fillId="5" borderId="73" xfId="0" applyFont="1" applyFill="1" applyBorder="1" applyAlignment="1" applyProtection="1">
      <alignment horizontal="center"/>
      <protection hidden="1"/>
    </xf>
    <xf numFmtId="0" fontId="43" fillId="5" borderId="64" xfId="0" applyFont="1" applyFill="1" applyBorder="1" applyAlignment="1" applyProtection="1">
      <alignment horizontal="center"/>
      <protection hidden="1"/>
    </xf>
    <xf numFmtId="0" fontId="43" fillId="5" borderId="74" xfId="0" applyFont="1" applyFill="1" applyBorder="1" applyAlignment="1" applyProtection="1">
      <alignment horizontal="center"/>
      <protection hidden="1"/>
    </xf>
    <xf numFmtId="0" fontId="43" fillId="0" borderId="70" xfId="0" applyFont="1" applyFill="1" applyBorder="1" applyAlignment="1" applyProtection="1">
      <alignment horizontal="center"/>
      <protection locked="0"/>
    </xf>
    <xf numFmtId="0" fontId="43" fillId="0" borderId="71" xfId="0" applyFont="1" applyFill="1" applyBorder="1" applyAlignment="1" applyProtection="1">
      <alignment horizontal="center"/>
      <protection locked="0"/>
    </xf>
    <xf numFmtId="0" fontId="43" fillId="0" borderId="72" xfId="0" applyFont="1" applyFill="1" applyBorder="1" applyAlignment="1" applyProtection="1">
      <alignment horizontal="center"/>
      <protection locked="0"/>
    </xf>
    <xf numFmtId="0" fontId="42" fillId="15" borderId="66" xfId="0" applyFont="1" applyFill="1" applyBorder="1" applyAlignment="1">
      <alignment horizontal="center" vertical="center" wrapText="1"/>
    </xf>
    <xf numFmtId="0" fontId="42" fillId="15" borderId="63" xfId="0" applyFont="1" applyFill="1" applyBorder="1" applyAlignment="1">
      <alignment horizontal="center" vertical="center" wrapText="1"/>
    </xf>
    <xf numFmtId="0" fontId="43" fillId="5" borderId="75" xfId="0" applyFont="1" applyFill="1" applyBorder="1" applyAlignment="1" applyProtection="1">
      <alignment horizontal="center"/>
      <protection hidden="1"/>
    </xf>
    <xf numFmtId="0" fontId="43" fillId="5" borderId="76" xfId="0" applyFont="1" applyFill="1" applyBorder="1" applyAlignment="1" applyProtection="1">
      <alignment horizontal="center"/>
      <protection hidden="1"/>
    </xf>
    <xf numFmtId="0" fontId="43" fillId="5" borderId="77" xfId="0" applyFont="1" applyFill="1" applyBorder="1" applyAlignment="1" applyProtection="1">
      <alignment horizontal="center"/>
      <protection hidden="1"/>
    </xf>
    <xf numFmtId="0" fontId="34" fillId="2" borderId="42"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43" xfId="0" applyFont="1" applyFill="1" applyBorder="1" applyAlignment="1">
      <alignment horizontal="left" vertical="top" wrapText="1"/>
    </xf>
    <xf numFmtId="0" fontId="34" fillId="2" borderId="52" xfId="0" applyFont="1" applyFill="1" applyBorder="1" applyAlignment="1">
      <alignment horizontal="left" vertical="top" wrapText="1"/>
    </xf>
    <xf numFmtId="0" fontId="34" fillId="2" borderId="36" xfId="0" applyFont="1" applyFill="1" applyBorder="1" applyAlignment="1">
      <alignment horizontal="left" vertical="top" wrapText="1"/>
    </xf>
    <xf numFmtId="0" fontId="34" fillId="2" borderId="53" xfId="0" applyFont="1" applyFill="1" applyBorder="1" applyAlignment="1">
      <alignment horizontal="left" vertical="top" wrapText="1"/>
    </xf>
    <xf numFmtId="0" fontId="0" fillId="0" borderId="0" xfId="0" applyAlignment="1">
      <alignment vertical="top" wrapText="1"/>
    </xf>
    <xf numFmtId="0" fontId="0" fillId="0" borderId="0" xfId="0" applyAlignment="1">
      <alignment vertical="top"/>
    </xf>
    <xf numFmtId="0" fontId="36" fillId="0" borderId="0" xfId="0" applyFont="1"/>
  </cellXfs>
  <cellStyles count="9">
    <cellStyle name="Calculation" xfId="6" builtinId="22"/>
    <cellStyle name="Comma" xfId="5" builtinId="3"/>
    <cellStyle name="Currency" xfId="8" builtinId="4"/>
    <cellStyle name="Heading 1" xfId="7" builtinId="16"/>
    <cellStyle name="Hyperlink" xfId="1" builtinId="8"/>
    <cellStyle name="Input 2" xfId="4" xr:uid="{00000000-0005-0000-0000-000002000000}"/>
    <cellStyle name="Locked Cell" xfId="3" xr:uid="{00000000-0005-0000-0000-000003000000}"/>
    <cellStyle name="Normal" xfId="0" builtinId="0"/>
    <cellStyle name="Percent" xfId="2" builtinId="5"/>
  </cellStyles>
  <dxfs count="12">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rgb="FFFFFF00"/>
        </patternFill>
      </fill>
    </dxf>
    <dxf>
      <fill>
        <patternFill>
          <bgColor rgb="FFFFFF00"/>
        </patternFill>
      </fill>
    </dxf>
    <dxf>
      <fill>
        <patternFill>
          <bgColor theme="1"/>
        </patternFill>
      </fill>
    </dxf>
    <dxf>
      <fill>
        <patternFill>
          <bgColor theme="1"/>
        </patternFill>
      </fill>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1" defaultTableStyle="TableStyleMedium2" defaultPivotStyle="PivotStyleLight16">
    <tableStyle name="Input Cells" pivot="0" count="3" xr9:uid="{00000000-0011-0000-FFFF-FFFF00000000}">
      <tableStyleElement type="wholeTable" dxfId="11"/>
      <tableStyleElement type="firstRowStripe" dxfId="10"/>
      <tableStyleElement type="secondRowStripe" dxfId="9"/>
    </tableStyle>
  </tableStyles>
  <colors>
    <mruColors>
      <color rgb="FFED1653"/>
      <color rgb="FF003C71"/>
      <color rgb="FF9CAF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2</xdr:col>
      <xdr:colOff>942764</xdr:colOff>
      <xdr:row>2</xdr:row>
      <xdr:rowOff>714024</xdr:rowOff>
    </xdr:to>
    <xdr:pic>
      <xdr:nvPicPr>
        <xdr:cNvPr id="4" name="Picture 3">
          <a:extLst>
            <a:ext uri="{FF2B5EF4-FFF2-40B4-BE49-F238E27FC236}">
              <a16:creationId xmlns:a16="http://schemas.microsoft.com/office/drawing/2014/main" id="{179B745F-2730-4F10-889E-2D2706D9C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4" y="359833"/>
          <a:ext cx="3302000" cy="700689"/>
        </a:xfrm>
        <a:prstGeom prst="rect">
          <a:avLst/>
        </a:prstGeom>
      </xdr:spPr>
    </xdr:pic>
    <xdr:clientData/>
  </xdr:twoCellAnchor>
  <xdr:twoCellAnchor editAs="oneCell">
    <xdr:from>
      <xdr:col>5</xdr:col>
      <xdr:colOff>726222</xdr:colOff>
      <xdr:row>45</xdr:row>
      <xdr:rowOff>232836</xdr:rowOff>
    </xdr:from>
    <xdr:to>
      <xdr:col>5</xdr:col>
      <xdr:colOff>2602441</xdr:colOff>
      <xdr:row>46</xdr:row>
      <xdr:rowOff>375483</xdr:rowOff>
    </xdr:to>
    <xdr:pic>
      <xdr:nvPicPr>
        <xdr:cNvPr id="6" name="Picture 5">
          <a:extLst>
            <a:ext uri="{FF2B5EF4-FFF2-40B4-BE49-F238E27FC236}">
              <a16:creationId xmlns:a16="http://schemas.microsoft.com/office/drawing/2014/main" id="{5BFF2788-864E-A8B4-B0AF-AE60B48254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77139" y="16912169"/>
          <a:ext cx="1876219" cy="4601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1</xdr:row>
      <xdr:rowOff>123825</xdr:rowOff>
    </xdr:from>
    <xdr:to>
      <xdr:col>1</xdr:col>
      <xdr:colOff>990600</xdr:colOff>
      <xdr:row>1</xdr:row>
      <xdr:rowOff>705936</xdr:rowOff>
    </xdr:to>
    <xdr:pic>
      <xdr:nvPicPr>
        <xdr:cNvPr id="6" name="Picture 5">
          <a:extLst>
            <a:ext uri="{FF2B5EF4-FFF2-40B4-BE49-F238E27FC236}">
              <a16:creationId xmlns:a16="http://schemas.microsoft.com/office/drawing/2014/main" id="{81B94BD7-C085-B690-35F0-2E1C9DE7C9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304800"/>
          <a:ext cx="2743200" cy="582111"/>
        </a:xfrm>
        <a:prstGeom prst="rect">
          <a:avLst/>
        </a:prstGeom>
      </xdr:spPr>
    </xdr:pic>
    <xdr:clientData/>
  </xdr:twoCellAnchor>
  <xdr:twoCellAnchor editAs="oneCell">
    <xdr:from>
      <xdr:col>3</xdr:col>
      <xdr:colOff>428624</xdr:colOff>
      <xdr:row>47</xdr:row>
      <xdr:rowOff>70196</xdr:rowOff>
    </xdr:from>
    <xdr:to>
      <xdr:col>4</xdr:col>
      <xdr:colOff>739535</xdr:colOff>
      <xdr:row>49</xdr:row>
      <xdr:rowOff>76203</xdr:rowOff>
    </xdr:to>
    <xdr:pic>
      <xdr:nvPicPr>
        <xdr:cNvPr id="10" name="Picture 9">
          <a:extLst>
            <a:ext uri="{FF2B5EF4-FFF2-40B4-BE49-F238E27FC236}">
              <a16:creationId xmlns:a16="http://schemas.microsoft.com/office/drawing/2014/main" id="{372FC17A-59CC-123D-EDE4-C562CAB456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67399" y="10109546"/>
          <a:ext cx="1358661" cy="339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22413</xdr:colOff>
      <xdr:row>1</xdr:row>
      <xdr:rowOff>1</xdr:rowOff>
    </xdr:from>
    <xdr:to>
      <xdr:col>4</xdr:col>
      <xdr:colOff>280148</xdr:colOff>
      <xdr:row>1</xdr:row>
      <xdr:rowOff>611122</xdr:rowOff>
    </xdr:to>
    <xdr:pic>
      <xdr:nvPicPr>
        <xdr:cNvPr id="6" name="Picture 5">
          <a:extLst>
            <a:ext uri="{FF2B5EF4-FFF2-40B4-BE49-F238E27FC236}">
              <a16:creationId xmlns:a16="http://schemas.microsoft.com/office/drawing/2014/main" id="{E3721545-E523-0D84-79D3-F05B02EB51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13" y="190501"/>
          <a:ext cx="2879911" cy="611121"/>
        </a:xfrm>
        <a:prstGeom prst="rect">
          <a:avLst/>
        </a:prstGeom>
      </xdr:spPr>
    </xdr:pic>
    <xdr:clientData/>
  </xdr:twoCellAnchor>
  <xdr:twoCellAnchor editAs="oneCell">
    <xdr:from>
      <xdr:col>8</xdr:col>
      <xdr:colOff>650205</xdr:colOff>
      <xdr:row>67</xdr:row>
      <xdr:rowOff>89647</xdr:rowOff>
    </xdr:from>
    <xdr:to>
      <xdr:col>10</xdr:col>
      <xdr:colOff>365382</xdr:colOff>
      <xdr:row>69</xdr:row>
      <xdr:rowOff>74203</xdr:rowOff>
    </xdr:to>
    <xdr:pic>
      <xdr:nvPicPr>
        <xdr:cNvPr id="7" name="Picture 6">
          <a:extLst>
            <a:ext uri="{FF2B5EF4-FFF2-40B4-BE49-F238E27FC236}">
              <a16:creationId xmlns:a16="http://schemas.microsoft.com/office/drawing/2014/main" id="{8DCDE764-5CD4-42AD-B5D8-4B1BDE10199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40234" y="13704794"/>
          <a:ext cx="1284001" cy="32073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Kurtz, Spencer" id="{C0F3C55D-7133-4846-9649-7C5BF91F3652}" userId="S::spencer.kurtz@aptim.com::fe2f2be9-1164-485f-94b6-80f4257875e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4" dT="2023-06-29T19:36:56.89" personId="{C0F3C55D-7133-4846-9649-7C5BF91F3652}" id="{91540729-97D8-4351-93E1-1BC3AF84A1E8}">
    <text>SEER2</text>
  </threadedComment>
  <threadedComment ref="L8" dT="2023-06-29T19:40:23.46" personId="{C0F3C55D-7133-4846-9649-7C5BF91F3652}" id="{839C2C05-0C3D-4F24-BCEB-8ABB03804661}">
    <text>SEER2</text>
  </threadedComment>
  <threadedComment ref="M8" dT="2023-06-29T19:54:05.98" personId="{C0F3C55D-7133-4846-9649-7C5BF91F3652}" id="{670CA734-BD21-4BF6-A3E1-C17FF2881A15}">
    <text>HSPF2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energystar.gov/products/commercial_food_service_equipment"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8BE89-8C13-4516-B088-663B4B7ED701}">
  <sheetPr>
    <tabColor rgb="FFED1653"/>
    <pageSetUpPr fitToPage="1"/>
  </sheetPr>
  <dimension ref="B1:J65"/>
  <sheetViews>
    <sheetView showGridLines="0" showRowColHeaders="0" tabSelected="1" zoomScaleNormal="100" workbookViewId="0">
      <selection activeCell="C9" sqref="C9"/>
    </sheetView>
  </sheetViews>
  <sheetFormatPr defaultRowHeight="14.25" x14ac:dyDescent="0.2"/>
  <cols>
    <col min="1" max="1" width="4" style="6" customWidth="1"/>
    <col min="2" max="2" width="35.5703125" style="6" customWidth="1"/>
    <col min="3" max="3" width="60.140625" style="6" customWidth="1"/>
    <col min="4" max="4" width="4" style="6" customWidth="1"/>
    <col min="5" max="5" width="38.140625" style="6" customWidth="1"/>
    <col min="6" max="6" width="39" style="6" customWidth="1"/>
    <col min="7" max="7" width="3.5703125" style="6" customWidth="1"/>
    <col min="8" max="8" width="3.42578125" style="6" customWidth="1"/>
    <col min="9" max="9" width="22.28515625" style="6" customWidth="1"/>
    <col min="10" max="10" width="32.5703125" style="6" customWidth="1"/>
    <col min="11" max="16384" width="9.140625" style="6"/>
  </cols>
  <sheetData>
    <row r="1" spans="2:10" x14ac:dyDescent="0.2">
      <c r="B1" s="172"/>
      <c r="C1" s="172"/>
      <c r="D1" s="172"/>
      <c r="E1" s="172"/>
      <c r="F1" s="172"/>
      <c r="G1" s="172"/>
      <c r="H1" s="172"/>
      <c r="I1" s="172"/>
      <c r="J1" s="172"/>
    </row>
    <row r="3" spans="2:10" ht="75" customHeight="1" x14ac:dyDescent="0.2"/>
    <row r="4" spans="2:10" ht="23.25" x14ac:dyDescent="0.35">
      <c r="B4" s="173" t="s">
        <v>812</v>
      </c>
    </row>
    <row r="5" spans="2:10" x14ac:dyDescent="0.2">
      <c r="B5" s="419" t="s">
        <v>589</v>
      </c>
      <c r="C5" s="420"/>
      <c r="D5" s="420"/>
      <c r="E5" s="420"/>
    </row>
    <row r="6" spans="2:10" x14ac:dyDescent="0.2">
      <c r="B6" s="420"/>
      <c r="C6" s="420"/>
      <c r="D6" s="420"/>
      <c r="E6" s="420"/>
    </row>
    <row r="8" spans="2:10" ht="30" customHeight="1" x14ac:dyDescent="0.2">
      <c r="B8" s="163" t="s">
        <v>597</v>
      </c>
      <c r="C8" s="163"/>
      <c r="E8" s="163" t="s">
        <v>599</v>
      </c>
      <c r="F8" s="163"/>
      <c r="I8" s="163" t="s">
        <v>0</v>
      </c>
      <c r="J8" s="163"/>
    </row>
    <row r="9" spans="2:10" ht="38.25" customHeight="1" x14ac:dyDescent="0.2">
      <c r="B9" s="174" t="s">
        <v>612</v>
      </c>
      <c r="C9" s="169"/>
      <c r="E9" s="415" t="s">
        <v>619</v>
      </c>
      <c r="F9" s="417"/>
      <c r="I9" s="98" t="s">
        <v>2</v>
      </c>
      <c r="J9" s="99"/>
    </row>
    <row r="10" spans="2:10" ht="25.5" x14ac:dyDescent="0.2">
      <c r="B10" s="175" t="s">
        <v>607</v>
      </c>
      <c r="C10" s="169"/>
      <c r="E10" s="416"/>
      <c r="F10" s="418"/>
      <c r="I10" s="100" t="s">
        <v>593</v>
      </c>
      <c r="J10" s="101"/>
    </row>
    <row r="11" spans="2:10" ht="30" customHeight="1" x14ac:dyDescent="0.2">
      <c r="B11" s="174" t="s">
        <v>500</v>
      </c>
      <c r="C11" s="169"/>
      <c r="E11" s="166" t="s">
        <v>620</v>
      </c>
      <c r="F11" s="352"/>
      <c r="I11" s="102" t="s">
        <v>3</v>
      </c>
      <c r="J11" s="102"/>
    </row>
    <row r="12" spans="2:10" ht="30" customHeight="1" x14ac:dyDescent="0.2">
      <c r="B12" s="174" t="s">
        <v>501</v>
      </c>
      <c r="C12" s="169"/>
      <c r="E12" s="166" t="s">
        <v>621</v>
      </c>
      <c r="F12" s="352"/>
      <c r="I12" s="103" t="s">
        <v>4</v>
      </c>
      <c r="J12" s="104"/>
    </row>
    <row r="13" spans="2:10" ht="30" customHeight="1" x14ac:dyDescent="0.2">
      <c r="B13" s="176" t="s">
        <v>614</v>
      </c>
      <c r="C13" s="177"/>
      <c r="I13" s="100" t="s">
        <v>5</v>
      </c>
      <c r="J13" s="99"/>
    </row>
    <row r="14" spans="2:10" ht="30" customHeight="1" x14ac:dyDescent="0.2">
      <c r="B14" s="178"/>
      <c r="C14" s="150"/>
      <c r="E14" s="163" t="s">
        <v>600</v>
      </c>
      <c r="F14" s="163"/>
      <c r="I14" s="360" t="s">
        <v>696</v>
      </c>
      <c r="J14" s="102" t="s">
        <v>807</v>
      </c>
    </row>
    <row r="15" spans="2:10" ht="30" customHeight="1" x14ac:dyDescent="0.2">
      <c r="B15" s="163" t="s">
        <v>601</v>
      </c>
      <c r="C15" s="163"/>
      <c r="E15" s="166" t="s">
        <v>622</v>
      </c>
      <c r="F15" s="353"/>
      <c r="I15" s="171" t="s">
        <v>697</v>
      </c>
      <c r="J15" s="102" t="s">
        <v>6</v>
      </c>
    </row>
    <row r="16" spans="2:10" ht="30" customHeight="1" x14ac:dyDescent="0.2">
      <c r="B16" s="166" t="s">
        <v>699</v>
      </c>
      <c r="C16" s="353"/>
      <c r="E16" s="166" t="s">
        <v>623</v>
      </c>
      <c r="F16" s="353"/>
    </row>
    <row r="17" spans="2:10" ht="30" customHeight="1" x14ac:dyDescent="0.2">
      <c r="B17" s="166" t="s">
        <v>610</v>
      </c>
      <c r="C17" s="353"/>
      <c r="E17" s="166" t="s">
        <v>624</v>
      </c>
      <c r="F17" s="353"/>
      <c r="I17" s="174" t="s">
        <v>698</v>
      </c>
      <c r="J17" s="179" t="str">
        <f>'Change Log'!B11</f>
        <v>Non-Lighting 2025 - v5.0</v>
      </c>
    </row>
    <row r="18" spans="2:10" ht="30" customHeight="1" x14ac:dyDescent="0.2">
      <c r="B18" s="166" t="s">
        <v>611</v>
      </c>
      <c r="C18" s="355"/>
      <c r="E18" s="166" t="s">
        <v>625</v>
      </c>
      <c r="F18" s="354"/>
    </row>
    <row r="19" spans="2:10" ht="30" customHeight="1" x14ac:dyDescent="0.2">
      <c r="D19" s="1"/>
      <c r="E19" s="166" t="s">
        <v>517</v>
      </c>
      <c r="F19" s="353"/>
      <c r="G19" s="1"/>
    </row>
    <row r="20" spans="2:10" ht="30" customHeight="1" x14ac:dyDescent="0.2">
      <c r="B20" s="163" t="s">
        <v>602</v>
      </c>
      <c r="C20" s="163"/>
      <c r="D20" s="1"/>
      <c r="E20" s="174" t="s">
        <v>700</v>
      </c>
      <c r="F20" s="170"/>
    </row>
    <row r="21" spans="2:10" ht="30" customHeight="1" x14ac:dyDescent="0.2">
      <c r="B21" s="174" t="s">
        <v>608</v>
      </c>
      <c r="C21" s="169"/>
      <c r="D21" s="1"/>
      <c r="E21" s="180" t="s">
        <v>626</v>
      </c>
      <c r="F21" s="169"/>
    </row>
    <row r="22" spans="2:10" ht="30" customHeight="1" x14ac:dyDescent="0.2">
      <c r="B22" s="174" t="s">
        <v>609</v>
      </c>
      <c r="C22" s="353"/>
      <c r="D22" s="1"/>
      <c r="E22" s="180" t="s">
        <v>627</v>
      </c>
      <c r="F22" s="169"/>
    </row>
    <row r="23" spans="2:10" ht="30" customHeight="1" x14ac:dyDescent="0.2">
      <c r="B23" s="174" t="s">
        <v>610</v>
      </c>
      <c r="C23" s="169"/>
      <c r="D23" s="1"/>
      <c r="E23" s="174" t="s">
        <v>628</v>
      </c>
      <c r="F23" s="169"/>
    </row>
    <row r="24" spans="2:10" ht="30" customHeight="1" x14ac:dyDescent="0.2">
      <c r="B24" s="174" t="s">
        <v>611</v>
      </c>
      <c r="C24" s="169"/>
      <c r="D24" s="1"/>
      <c r="E24" s="174" t="s">
        <v>629</v>
      </c>
      <c r="F24" s="169"/>
      <c r="G24" s="1"/>
    </row>
    <row r="25" spans="2:10" ht="30" customHeight="1" x14ac:dyDescent="0.2">
      <c r="B25" s="174" t="s">
        <v>612</v>
      </c>
      <c r="C25" s="169"/>
      <c r="D25" s="1"/>
      <c r="G25" s="1"/>
    </row>
    <row r="26" spans="2:10" ht="30" customHeight="1" x14ac:dyDescent="0.2">
      <c r="B26" s="174" t="s">
        <v>613</v>
      </c>
      <c r="C26" s="181"/>
      <c r="D26" s="2"/>
      <c r="E26" s="163" t="s">
        <v>606</v>
      </c>
      <c r="F26" s="163"/>
      <c r="G26" s="1"/>
    </row>
    <row r="27" spans="2:10" ht="30" customHeight="1" x14ac:dyDescent="0.2">
      <c r="B27" s="166" t="s">
        <v>500</v>
      </c>
      <c r="C27" s="353"/>
      <c r="D27" s="1"/>
      <c r="E27" s="166" t="s">
        <v>630</v>
      </c>
      <c r="F27" s="353"/>
      <c r="G27" s="1"/>
      <c r="H27" s="1"/>
      <c r="I27" s="1"/>
      <c r="J27" s="1"/>
    </row>
    <row r="28" spans="2:10" ht="30" customHeight="1" x14ac:dyDescent="0.2">
      <c r="B28" s="166" t="s">
        <v>501</v>
      </c>
      <c r="C28" s="353"/>
      <c r="D28" s="1"/>
      <c r="E28" s="166" t="s">
        <v>631</v>
      </c>
      <c r="F28" s="353"/>
      <c r="G28" s="1"/>
      <c r="J28" s="1"/>
    </row>
    <row r="29" spans="2:10" ht="30" customHeight="1" x14ac:dyDescent="0.2">
      <c r="B29" s="166" t="s">
        <v>614</v>
      </c>
      <c r="C29" s="353"/>
      <c r="D29" s="2"/>
      <c r="E29" s="166" t="s">
        <v>632</v>
      </c>
      <c r="F29" s="356"/>
      <c r="G29" s="1"/>
      <c r="H29" s="1"/>
      <c r="I29" s="1"/>
      <c r="J29" s="1"/>
    </row>
    <row r="30" spans="2:10" ht="30" customHeight="1" x14ac:dyDescent="0.2">
      <c r="D30" s="2"/>
      <c r="E30" s="166" t="s">
        <v>633</v>
      </c>
      <c r="F30" s="353"/>
      <c r="G30" s="1"/>
      <c r="H30" s="1"/>
      <c r="I30" s="1"/>
      <c r="J30" s="1"/>
    </row>
    <row r="31" spans="2:10" ht="30" customHeight="1" x14ac:dyDescent="0.2">
      <c r="B31" s="163" t="s">
        <v>603</v>
      </c>
      <c r="C31" s="163"/>
      <c r="D31" s="2"/>
      <c r="E31" s="166" t="s">
        <v>500</v>
      </c>
      <c r="F31" s="353"/>
    </row>
    <row r="32" spans="2:10" ht="30" customHeight="1" x14ac:dyDescent="0.2">
      <c r="B32" s="166" t="s">
        <v>615</v>
      </c>
      <c r="C32" s="353"/>
      <c r="D32" s="2"/>
      <c r="E32" s="166" t="s">
        <v>501</v>
      </c>
      <c r="F32" s="353"/>
    </row>
    <row r="33" spans="2:10" ht="30" customHeight="1" x14ac:dyDescent="0.2">
      <c r="B33" s="166" t="s">
        <v>610</v>
      </c>
      <c r="C33" s="353"/>
      <c r="D33" s="2"/>
      <c r="E33" s="166" t="s">
        <v>502</v>
      </c>
      <c r="F33" s="353"/>
      <c r="G33" s="1"/>
    </row>
    <row r="34" spans="2:10" ht="30" customHeight="1" x14ac:dyDescent="0.2">
      <c r="B34" s="166" t="s">
        <v>611</v>
      </c>
      <c r="C34" s="355"/>
      <c r="D34" s="1"/>
      <c r="G34" s="1"/>
    </row>
    <row r="35" spans="2:10" ht="30" customHeight="1" x14ac:dyDescent="0.2">
      <c r="B35" s="182"/>
      <c r="C35" s="183"/>
      <c r="D35" s="1"/>
      <c r="E35" s="163" t="s">
        <v>503</v>
      </c>
      <c r="F35" s="163"/>
      <c r="G35" s="1"/>
      <c r="J35" s="1"/>
    </row>
    <row r="36" spans="2:10" ht="30" customHeight="1" x14ac:dyDescent="0.2">
      <c r="B36" s="163" t="s">
        <v>605</v>
      </c>
      <c r="C36" s="163"/>
      <c r="D36" s="1"/>
      <c r="E36" s="166" t="s">
        <v>504</v>
      </c>
      <c r="F36" s="358"/>
      <c r="G36" s="2"/>
      <c r="J36" s="2"/>
    </row>
    <row r="37" spans="2:10" ht="30" customHeight="1" x14ac:dyDescent="0.2">
      <c r="B37" s="167" t="s">
        <v>616</v>
      </c>
      <c r="C37" s="357"/>
      <c r="D37" s="1"/>
      <c r="E37" s="97" t="s">
        <v>505</v>
      </c>
      <c r="F37" s="13"/>
      <c r="G37" s="2"/>
      <c r="J37" s="2"/>
    </row>
    <row r="38" spans="2:10" ht="30" customHeight="1" x14ac:dyDescent="0.2">
      <c r="B38" s="97" t="s">
        <v>519</v>
      </c>
      <c r="C38" s="13"/>
      <c r="D38" s="1"/>
      <c r="E38" s="166" t="s">
        <v>573</v>
      </c>
      <c r="F38" s="353"/>
      <c r="G38" s="1"/>
      <c r="H38" s="1"/>
      <c r="I38" s="1"/>
      <c r="J38" s="1"/>
    </row>
    <row r="39" spans="2:10" ht="30" customHeight="1" x14ac:dyDescent="0.2">
      <c r="B39" s="166" t="s">
        <v>617</v>
      </c>
      <c r="C39" s="359"/>
      <c r="D39" s="1"/>
      <c r="G39" s="1"/>
      <c r="H39" s="1"/>
      <c r="I39" s="1"/>
      <c r="J39" s="1"/>
    </row>
    <row r="40" spans="2:10" ht="30" customHeight="1" x14ac:dyDescent="0.2">
      <c r="B40" s="166" t="s">
        <v>613</v>
      </c>
      <c r="C40" s="359"/>
      <c r="D40" s="1"/>
      <c r="E40" s="163" t="s">
        <v>604</v>
      </c>
      <c r="F40" s="163"/>
      <c r="G40" s="1"/>
      <c r="H40" s="1"/>
      <c r="I40" s="1"/>
      <c r="J40" s="1"/>
    </row>
    <row r="41" spans="2:10" ht="30" customHeight="1" x14ac:dyDescent="0.2">
      <c r="B41" s="166" t="s">
        <v>500</v>
      </c>
      <c r="C41" s="359"/>
      <c r="D41" s="1"/>
      <c r="E41" s="168" t="s">
        <v>590</v>
      </c>
      <c r="F41" s="357"/>
      <c r="G41" s="1"/>
      <c r="H41" s="1"/>
      <c r="I41" s="1"/>
      <c r="J41" s="1"/>
    </row>
    <row r="42" spans="2:10" ht="30" customHeight="1" x14ac:dyDescent="0.2">
      <c r="B42" s="166" t="s">
        <v>501</v>
      </c>
      <c r="C42" s="359"/>
      <c r="D42" s="1"/>
      <c r="E42" s="168" t="s">
        <v>591</v>
      </c>
      <c r="F42" s="359"/>
      <c r="H42" s="1"/>
      <c r="I42" s="1"/>
      <c r="J42" s="1"/>
    </row>
    <row r="43" spans="2:10" ht="30" customHeight="1" x14ac:dyDescent="0.2">
      <c r="B43" s="166" t="s">
        <v>614</v>
      </c>
      <c r="C43" s="359"/>
      <c r="D43" s="1"/>
      <c r="E43" s="168" t="s">
        <v>518</v>
      </c>
      <c r="F43" s="359"/>
      <c r="H43" s="1"/>
      <c r="I43" s="1"/>
      <c r="J43" s="1"/>
    </row>
    <row r="44" spans="2:10" ht="30" customHeight="1" x14ac:dyDescent="0.2">
      <c r="B44" s="166" t="s">
        <v>618</v>
      </c>
      <c r="C44" s="359"/>
      <c r="D44" s="1"/>
      <c r="E44" s="168" t="s">
        <v>592</v>
      </c>
      <c r="F44" s="359"/>
      <c r="H44" s="1"/>
      <c r="I44" s="1"/>
      <c r="J44" s="1"/>
    </row>
    <row r="45" spans="2:10" ht="30" customHeight="1" x14ac:dyDescent="0.2">
      <c r="D45" s="1"/>
      <c r="E45" s="168" t="s">
        <v>520</v>
      </c>
      <c r="F45" s="359"/>
      <c r="H45" s="1"/>
      <c r="I45" s="1"/>
      <c r="J45" s="1"/>
    </row>
    <row r="46" spans="2:10" ht="24.95" customHeight="1" x14ac:dyDescent="0.2">
      <c r="B46" s="421"/>
      <c r="C46" s="421"/>
      <c r="D46" s="1"/>
      <c r="H46" s="1"/>
      <c r="I46" s="1"/>
      <c r="J46" s="1"/>
    </row>
    <row r="47" spans="2:10" ht="41.25" customHeight="1" x14ac:dyDescent="0.2">
      <c r="B47" s="422" t="s">
        <v>811</v>
      </c>
      <c r="C47" s="422"/>
      <c r="D47" s="422"/>
      <c r="E47" s="422"/>
      <c r="G47" s="1"/>
      <c r="H47" s="1"/>
      <c r="I47" s="1"/>
      <c r="J47" s="1"/>
    </row>
    <row r="48" spans="2:10" ht="24.95" customHeight="1" x14ac:dyDescent="0.2">
      <c r="D48" s="1"/>
      <c r="G48" s="1"/>
      <c r="H48" s="1"/>
      <c r="I48" s="1"/>
      <c r="J48" s="1"/>
    </row>
    <row r="49" spans="4:10" ht="32.25" customHeight="1" x14ac:dyDescent="0.2">
      <c r="G49" s="1"/>
      <c r="H49" s="1"/>
      <c r="I49" s="1"/>
      <c r="J49" s="1"/>
    </row>
    <row r="50" spans="4:10" ht="33.75" customHeight="1" x14ac:dyDescent="0.2">
      <c r="G50" s="1"/>
      <c r="H50" s="1"/>
      <c r="I50" s="1"/>
      <c r="J50" s="1"/>
    </row>
    <row r="51" spans="4:10" ht="35.25" customHeight="1" x14ac:dyDescent="0.2">
      <c r="G51" s="1"/>
      <c r="H51" s="1"/>
      <c r="I51" s="1"/>
      <c r="J51" s="1"/>
    </row>
    <row r="52" spans="4:10" ht="40.5" customHeight="1" x14ac:dyDescent="0.2">
      <c r="G52" s="1"/>
      <c r="H52" s="1"/>
      <c r="I52" s="1"/>
      <c r="J52" s="1"/>
    </row>
    <row r="53" spans="4:10" ht="33" customHeight="1" x14ac:dyDescent="0.2">
      <c r="G53" s="1"/>
      <c r="H53" s="1"/>
      <c r="I53" s="1"/>
      <c r="J53" s="1"/>
    </row>
    <row r="54" spans="4:10" ht="39" customHeight="1" x14ac:dyDescent="0.2">
      <c r="G54" s="1"/>
      <c r="H54" s="1"/>
      <c r="I54" s="1"/>
      <c r="J54" s="1"/>
    </row>
    <row r="55" spans="4:10" ht="36" customHeight="1" x14ac:dyDescent="0.2">
      <c r="G55" s="1"/>
      <c r="H55" s="1"/>
      <c r="I55" s="1"/>
      <c r="J55" s="1"/>
    </row>
    <row r="56" spans="4:10" ht="42.75" customHeight="1" x14ac:dyDescent="0.2">
      <c r="G56" s="1"/>
      <c r="H56" s="1"/>
      <c r="I56" s="1"/>
      <c r="J56" s="1"/>
    </row>
    <row r="57" spans="4:10" ht="29.25" customHeight="1" x14ac:dyDescent="0.2">
      <c r="G57" s="1"/>
      <c r="H57" s="1"/>
      <c r="I57" s="1"/>
      <c r="J57" s="1"/>
    </row>
    <row r="58" spans="4:10" ht="28.5" customHeight="1" x14ac:dyDescent="0.2">
      <c r="G58" s="1"/>
      <c r="H58" s="1"/>
      <c r="I58" s="1"/>
      <c r="J58" s="1"/>
    </row>
    <row r="59" spans="4:10" ht="33.75" customHeight="1" x14ac:dyDescent="0.2">
      <c r="G59" s="1"/>
      <c r="H59" s="1"/>
      <c r="I59" s="1"/>
      <c r="J59" s="1"/>
    </row>
    <row r="60" spans="4:10" ht="32.25" customHeight="1" x14ac:dyDescent="0.2">
      <c r="D60" s="1"/>
      <c r="E60" s="1"/>
      <c r="F60" s="1"/>
      <c r="G60" s="1"/>
      <c r="H60" s="1"/>
      <c r="I60" s="1"/>
      <c r="J60" s="1"/>
    </row>
    <row r="65" spans="2:3" x14ac:dyDescent="0.2">
      <c r="B65" s="1"/>
      <c r="C65" s="1"/>
    </row>
  </sheetData>
  <sheetProtection algorithmName="SHA-512" hashValue="CkJeg1jEStvMbQKWe5y78zmDSDH6BFZPxZYUfRBjuiC6R++kI0QxCZnS7u1D4h+1PsT27QoAXBsnAnZKAQIyvQ==" saltValue="pofPYLdIkTEm8hXWpgqSAw==" spinCount="100000" sheet="1" objects="1" scenarios="1"/>
  <mergeCells count="5">
    <mergeCell ref="E9:E10"/>
    <mergeCell ref="F9:F10"/>
    <mergeCell ref="B5:E6"/>
    <mergeCell ref="B46:C46"/>
    <mergeCell ref="B47:E47"/>
  </mergeCells>
  <conditionalFormatting sqref="B38:C38">
    <cfRule type="expression" dxfId="8" priority="1">
      <formula>$C$37&lt;&gt;"Other:"</formula>
    </cfRule>
  </conditionalFormatting>
  <conditionalFormatting sqref="E37:F37">
    <cfRule type="expression" dxfId="7" priority="2">
      <formula>$F$36&lt;&gt;"Other:"</formula>
    </cfRule>
  </conditionalFormatting>
  <dataValidations count="4">
    <dataValidation type="list" allowBlank="1" showInputMessage="1" showErrorMessage="1" sqref="F22" xr:uid="{29864316-F2EA-4561-81A9-9D768BD5BC77}">
      <formula1>List_HVACTypes</formula1>
    </dataValidation>
    <dataValidation type="list" allowBlank="1" showInputMessage="1" showErrorMessage="1" sqref="F21" xr:uid="{938C79D0-8F45-4E0C-A86D-228F5CC7895E}">
      <formula1>List_BldgTypes</formula1>
    </dataValidation>
    <dataValidation type="list" allowBlank="1" showInputMessage="1" showErrorMessage="1" sqref="F23" xr:uid="{D6CE2F00-0FA0-434B-B2F9-A3B0EF739CEA}">
      <formula1>List_ProgramNames</formula1>
    </dataValidation>
    <dataValidation type="list" allowBlank="1" showInputMessage="1" showErrorMessage="1" sqref="F24" xr:uid="{E0DCADB8-0889-4AB6-A970-34F8F4D53BB1}">
      <formula1>List_ProjectStage</formula1>
    </dataValidation>
  </dataValidations>
  <pageMargins left="0.7" right="0.7" top="0.75" bottom="0.75" header="0.3" footer="0.3"/>
  <pageSetup scale="49" orientation="portrait" r:id="rId1"/>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79CCD98F-227F-4BFB-BD07-248F6B7724E2}">
          <x14:formula1>
            <xm:f>Lookups!$H$68:$H$69</xm:f>
          </x14:formula1>
          <xm:sqref>F19</xm:sqref>
        </x14:dataValidation>
        <x14:dataValidation type="list" allowBlank="1" showInputMessage="1" showErrorMessage="1" xr:uid="{AAC27181-DA09-4AA4-8715-7429E55901D6}">
          <x14:formula1>
            <xm:f>Lookups!$G$68:$G$74</xm:f>
          </x14:formula1>
          <xm:sqref>F16</xm:sqref>
        </x14:dataValidation>
        <x14:dataValidation type="list" allowBlank="1" showInputMessage="1" showErrorMessage="1" xr:uid="{6BEC04CA-D6FD-4791-84F6-C1FE8A7C88BD}">
          <x14:formula1>
            <xm:f>Lookups!$F$68:$F$73</xm:f>
          </x14:formula1>
          <xm:sqref>F15</xm:sqref>
        </x14:dataValidation>
        <x14:dataValidation type="list" allowBlank="1" showInputMessage="1" showErrorMessage="1" xr:uid="{FD28EAE1-C354-49F5-9A24-4D616D64CAC6}">
          <x14:formula1>
            <xm:f>Lookups!$I$67:$I$68</xm:f>
          </x14:formula1>
          <xm:sqref>F29 F41:F45 C22</xm:sqref>
        </x14:dataValidation>
        <x14:dataValidation type="list" allowBlank="1" showInputMessage="1" showErrorMessage="1" xr:uid="{BC4F0C17-6476-446F-86AF-8D723A07B196}">
          <x14:formula1>
            <xm:f>Lookups!$B$72:$B$74</xm:f>
          </x14:formula1>
          <xm:sqref>C39</xm:sqref>
        </x14:dataValidation>
        <x14:dataValidation type="list" allowBlank="1" showInputMessage="1" showErrorMessage="1" xr:uid="{356FD7C8-59F2-4213-ADB2-0AE1BA4D9A10}">
          <x14:formula1>
            <xm:f>Lookups!$B$67:$B$71</xm:f>
          </x14:formula1>
          <xm:sqref>C37</xm:sqref>
        </x14:dataValidation>
        <x14:dataValidation type="list" allowBlank="1" showInputMessage="1" showErrorMessage="1" xr:uid="{DA634FEB-739D-421E-9409-63B63BDBE32A}">
          <x14:formula1>
            <xm:f>Lookups!$C$67:$C$69</xm:f>
          </x14:formula1>
          <xm:sqref>F36</xm:sqref>
        </x14:dataValidation>
        <x14:dataValidation type="list" allowBlank="1" showInputMessage="1" showErrorMessage="1" xr:uid="{20CC1476-4E35-4632-9A48-36AD5F98AA07}">
          <x14:formula1>
            <xm:f>Lookups!$B$76:$B$85</xm:f>
          </x14:formula1>
          <xm:sqref>F38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D56AF-E205-480A-AF23-703F63B335F5}">
  <sheetPr>
    <tabColor rgb="FFED1653"/>
  </sheetPr>
  <dimension ref="A1:I28"/>
  <sheetViews>
    <sheetView showGridLines="0" zoomScale="85" zoomScaleNormal="85" workbookViewId="0">
      <selection activeCell="B1" sqref="B1"/>
    </sheetView>
  </sheetViews>
  <sheetFormatPr defaultRowHeight="15" x14ac:dyDescent="0.25"/>
  <cols>
    <col min="1" max="1" width="64.85546875" style="8" bestFit="1" customWidth="1"/>
    <col min="2" max="2" width="34.42578125" style="4" customWidth="1"/>
    <col min="3" max="3" width="29.140625" style="4" customWidth="1"/>
    <col min="4" max="4" width="13.85546875" bestFit="1" customWidth="1"/>
    <col min="6" max="6" width="27.5703125" bestFit="1" customWidth="1"/>
    <col min="7" max="7" width="32.85546875" bestFit="1" customWidth="1"/>
    <col min="9" max="9" width="10.7109375" bestFit="1" customWidth="1"/>
  </cols>
  <sheetData>
    <row r="1" spans="1:5" x14ac:dyDescent="0.25">
      <c r="A1" s="80" t="s">
        <v>98</v>
      </c>
      <c r="B1" s="249"/>
      <c r="E1" s="19" t="s">
        <v>99</v>
      </c>
    </row>
    <row r="2" spans="1:5" x14ac:dyDescent="0.25">
      <c r="A2" s="80" t="s">
        <v>100</v>
      </c>
      <c r="B2" s="250"/>
      <c r="E2" s="19"/>
    </row>
    <row r="3" spans="1:5" x14ac:dyDescent="0.25">
      <c r="A3" s="80" t="s">
        <v>101</v>
      </c>
      <c r="B3" s="20" t="str">
        <f>IFERROR(Summary!E12/Input_Usage,"")</f>
        <v/>
      </c>
      <c r="E3" s="19"/>
    </row>
    <row r="4" spans="1:5" x14ac:dyDescent="0.25">
      <c r="E4" s="96"/>
    </row>
    <row r="5" spans="1:5" x14ac:dyDescent="0.25">
      <c r="A5" s="8" t="s">
        <v>102</v>
      </c>
      <c r="B5" s="3" t="s">
        <v>103</v>
      </c>
      <c r="C5" s="3" t="s">
        <v>104</v>
      </c>
    </row>
    <row r="6" spans="1:5" x14ac:dyDescent="0.25">
      <c r="A6" s="81" t="s">
        <v>1</v>
      </c>
      <c r="B6" s="17"/>
      <c r="C6" s="17"/>
    </row>
    <row r="7" spans="1:5" x14ac:dyDescent="0.25">
      <c r="A7" s="81" t="s">
        <v>105</v>
      </c>
      <c r="B7" s="17"/>
      <c r="C7" s="17"/>
    </row>
    <row r="8" spans="1:5" x14ac:dyDescent="0.25">
      <c r="A8" s="81" t="s">
        <v>106</v>
      </c>
      <c r="B8" s="17"/>
      <c r="C8" s="17"/>
    </row>
    <row r="9" spans="1:5" x14ac:dyDescent="0.25">
      <c r="A9" s="81" t="s">
        <v>107</v>
      </c>
      <c r="B9" s="21"/>
      <c r="C9" s="21"/>
    </row>
    <row r="10" spans="1:5" x14ac:dyDescent="0.25">
      <c r="A10" s="81" t="s">
        <v>499</v>
      </c>
      <c r="B10" s="21"/>
      <c r="C10" s="21"/>
    </row>
    <row r="11" spans="1:5" x14ac:dyDescent="0.25">
      <c r="A11" s="81" t="s">
        <v>577</v>
      </c>
      <c r="B11" s="21"/>
      <c r="C11" s="21"/>
    </row>
    <row r="12" spans="1:5" x14ac:dyDescent="0.25">
      <c r="A12" s="81" t="s">
        <v>582</v>
      </c>
      <c r="B12" s="21"/>
      <c r="C12" s="21"/>
    </row>
    <row r="13" spans="1:5" x14ac:dyDescent="0.25">
      <c r="A13" s="81" t="s">
        <v>108</v>
      </c>
      <c r="B13" s="21"/>
      <c r="C13" s="21"/>
    </row>
    <row r="14" spans="1:5" x14ac:dyDescent="0.25">
      <c r="A14" s="81" t="s">
        <v>109</v>
      </c>
      <c r="B14" s="21"/>
      <c r="C14" s="21"/>
    </row>
    <row r="18" spans="1:9" x14ac:dyDescent="0.25">
      <c r="A18" s="82" t="s">
        <v>373</v>
      </c>
      <c r="B18" s="82" t="s">
        <v>20</v>
      </c>
      <c r="C18" s="83" t="s">
        <v>21</v>
      </c>
      <c r="D18" s="83" t="s">
        <v>22</v>
      </c>
      <c r="F18" s="185" t="s">
        <v>638</v>
      </c>
      <c r="G18" s="185" t="s">
        <v>685</v>
      </c>
    </row>
    <row r="19" spans="1:9" x14ac:dyDescent="0.25">
      <c r="A19" s="84" t="s">
        <v>121</v>
      </c>
      <c r="B19" s="85">
        <f>SUM(HVAC!$M$1,Refrigeration!$M$1,'Food service'!$K$1,Misc.!$K$1)</f>
        <v>0</v>
      </c>
      <c r="C19" s="85">
        <f>Custom!$G$6</f>
        <v>0</v>
      </c>
      <c r="D19" s="85">
        <f>SUM(B19:C19)</f>
        <v>0</v>
      </c>
      <c r="F19" s="251"/>
      <c r="G19" s="309"/>
      <c r="H19" s="153"/>
      <c r="I19" s="162"/>
    </row>
    <row r="20" spans="1:9" x14ac:dyDescent="0.25">
      <c r="A20" s="84" t="s">
        <v>374</v>
      </c>
      <c r="B20" s="85">
        <f>SUM(HVAC!$J$1,Refrigeration!$J$1,'Food service'!$H$1,Misc.!$H$1)</f>
        <v>0</v>
      </c>
      <c r="C20" s="85">
        <f>Custom!$G$5</f>
        <v>0</v>
      </c>
      <c r="D20" s="85">
        <f>Total_ProjectCost</f>
        <v>0</v>
      </c>
      <c r="F20" s="185" t="s">
        <v>628</v>
      </c>
      <c r="G20" s="185" t="s">
        <v>686</v>
      </c>
    </row>
    <row r="21" spans="1:9" x14ac:dyDescent="0.25">
      <c r="A21" s="9" t="s">
        <v>375</v>
      </c>
      <c r="B21" s="86">
        <f>B$19/Value_Max_Incentive</f>
        <v>0</v>
      </c>
      <c r="C21" s="86">
        <f>C$19/Value_Max_Incentive</f>
        <v>0</v>
      </c>
      <c r="D21" s="86">
        <f>D$19/Value_Max_Incentive</f>
        <v>0</v>
      </c>
      <c r="F21" s="252">
        <f>Input_ProgramType</f>
        <v>0</v>
      </c>
      <c r="G21" s="310">
        <f>IF($F$21="Small Commercial Solutions",30000,100000)</f>
        <v>100000</v>
      </c>
    </row>
    <row r="22" spans="1:9" x14ac:dyDescent="0.25">
      <c r="A22" s="84" t="s">
        <v>376</v>
      </c>
      <c r="B22" s="86" t="e">
        <f>B$19/B$20</f>
        <v>#DIV/0!</v>
      </c>
      <c r="C22" s="86" t="e">
        <f>C$19/C$20</f>
        <v>#DIV/0!</v>
      </c>
      <c r="D22" s="86" t="e">
        <f>D$19/D$20</f>
        <v>#DIV/0!</v>
      </c>
    </row>
    <row r="23" spans="1:9" x14ac:dyDescent="0.25">
      <c r="A23"/>
    </row>
    <row r="24" spans="1:9" x14ac:dyDescent="0.25">
      <c r="A24" s="82" t="s">
        <v>490</v>
      </c>
      <c r="B24" s="82" t="s">
        <v>20</v>
      </c>
    </row>
    <row r="25" spans="1:9" x14ac:dyDescent="0.25">
      <c r="A25" s="84" t="s">
        <v>491</v>
      </c>
      <c r="B25" s="85" t="b">
        <f>Summary!E12=SUM('APTracks Export Data'!H:H)</f>
        <v>1</v>
      </c>
    </row>
    <row r="26" spans="1:9" x14ac:dyDescent="0.25">
      <c r="A26" s="84" t="s">
        <v>492</v>
      </c>
      <c r="B26" s="85" t="e">
        <f>Summary!D12=SUM('APTracks Export Data'!J:J)</f>
        <v>#REF!</v>
      </c>
    </row>
    <row r="27" spans="1:9" x14ac:dyDescent="0.25">
      <c r="A27" s="9" t="s">
        <v>493</v>
      </c>
      <c r="B27" s="86" t="b">
        <f>Total_ProjectCost=SUM('APTracks Export Data'!K:L)</f>
        <v>1</v>
      </c>
    </row>
    <row r="28" spans="1:9" x14ac:dyDescent="0.25">
      <c r="A28" s="9" t="s">
        <v>494</v>
      </c>
      <c r="B28" s="86" t="s">
        <v>496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CF2BF-10B1-4729-9781-09035D37CDB6}">
  <sheetPr>
    <tabColor rgb="FFED1653"/>
    <pageSetUpPr fitToPage="1"/>
  </sheetPr>
  <dimension ref="A2:P70"/>
  <sheetViews>
    <sheetView showGridLines="0" view="pageBreakPreview" zoomScale="85" zoomScaleNormal="96" zoomScaleSheetLayoutView="85" workbookViewId="0">
      <selection activeCell="B7" sqref="B7"/>
    </sheetView>
  </sheetViews>
  <sheetFormatPr defaultRowHeight="15" x14ac:dyDescent="0.25"/>
  <cols>
    <col min="1" max="2" width="11.7109375" customWidth="1"/>
    <col min="3" max="3" width="12.7109375" bestFit="1" customWidth="1"/>
    <col min="4" max="4" width="3" customWidth="1"/>
    <col min="5" max="5" width="15.5703125" customWidth="1"/>
    <col min="6" max="7" width="11.7109375" customWidth="1"/>
    <col min="8" max="8" width="2.28515625" customWidth="1"/>
    <col min="9" max="11" width="11.7109375" customWidth="1"/>
  </cols>
  <sheetData>
    <row r="2" spans="1:16" ht="75.75" customHeight="1" x14ac:dyDescent="0.35">
      <c r="A2" s="164" t="s">
        <v>598</v>
      </c>
      <c r="B2" s="253"/>
      <c r="C2" s="253"/>
    </row>
    <row r="3" spans="1:16" x14ac:dyDescent="0.25">
      <c r="A3" s="458" t="s">
        <v>589</v>
      </c>
      <c r="B3" s="459"/>
      <c r="C3" s="459"/>
      <c r="D3" s="459"/>
      <c r="E3" s="459"/>
    </row>
    <row r="4" spans="1:16" x14ac:dyDescent="0.25">
      <c r="A4" s="459"/>
      <c r="B4" s="459"/>
      <c r="C4" s="459"/>
      <c r="D4" s="459"/>
      <c r="E4" s="459"/>
    </row>
    <row r="5" spans="1:16" ht="15.75" thickBot="1" x14ac:dyDescent="0.3">
      <c r="A5" s="151"/>
      <c r="B5" s="151"/>
      <c r="C5" s="151"/>
      <c r="D5" s="151"/>
      <c r="E5" s="151"/>
    </row>
    <row r="6" spans="1:16" x14ac:dyDescent="0.25">
      <c r="A6" s="254" t="s">
        <v>687</v>
      </c>
      <c r="B6" s="255"/>
      <c r="C6" s="256"/>
      <c r="D6" s="110"/>
      <c r="E6" s="254" t="s">
        <v>677</v>
      </c>
      <c r="F6" s="255"/>
      <c r="G6" s="256"/>
      <c r="I6" s="254" t="s">
        <v>688</v>
      </c>
      <c r="J6" s="255"/>
      <c r="K6" s="256"/>
    </row>
    <row r="7" spans="1:16" x14ac:dyDescent="0.25">
      <c r="A7" s="140" t="s">
        <v>612</v>
      </c>
      <c r="B7" s="108"/>
      <c r="C7" s="141"/>
      <c r="D7" s="111"/>
      <c r="E7" s="140" t="s">
        <v>722</v>
      </c>
      <c r="F7" s="108"/>
      <c r="G7" s="141"/>
      <c r="I7" s="140" t="s">
        <v>723</v>
      </c>
      <c r="J7" s="108"/>
      <c r="K7" s="141"/>
    </row>
    <row r="8" spans="1:16" x14ac:dyDescent="0.25">
      <c r="A8" s="260" t="str">
        <f>IF(ISTEXT('Fillable application &amp; instruct'!C9)=TRUE,'Fillable application &amp; instruct'!C9,"")</f>
        <v/>
      </c>
      <c r="B8" s="261"/>
      <c r="C8" s="262"/>
      <c r="D8" s="111"/>
      <c r="E8" s="260" t="str">
        <f>IF(ISTEXT('Fillable application &amp; instruct'!C21)=TRUE,'Fillable application &amp; instruct'!C21,"")</f>
        <v/>
      </c>
      <c r="F8" s="261"/>
      <c r="G8" s="262"/>
      <c r="I8" s="260" t="str">
        <f>IF(ISTEXT('Fillable application &amp; instruct'!F15)=TRUE,'Fillable application &amp; instruct'!F15,"")</f>
        <v/>
      </c>
      <c r="J8" s="261"/>
      <c r="K8" s="262"/>
    </row>
    <row r="9" spans="1:16" x14ac:dyDescent="0.25">
      <c r="A9" s="140" t="s">
        <v>721</v>
      </c>
      <c r="B9" s="108"/>
      <c r="C9" s="141"/>
      <c r="D9" s="111"/>
      <c r="E9" s="140" t="s">
        <v>610</v>
      </c>
      <c r="F9" s="108"/>
      <c r="G9" s="141"/>
      <c r="I9" s="140" t="s">
        <v>724</v>
      </c>
      <c r="J9" s="108"/>
      <c r="K9" s="141"/>
    </row>
    <row r="10" spans="1:16" x14ac:dyDescent="0.25">
      <c r="A10" s="260" t="str">
        <f>IF(ISTEXT('Fillable application &amp; instruct'!C10)=TRUE,'Fillable application &amp; instruct'!C10,"")</f>
        <v/>
      </c>
      <c r="B10" s="261"/>
      <c r="C10" s="262"/>
      <c r="D10" s="111"/>
      <c r="E10" s="260" t="str">
        <f>IF(ISBLANK('Fillable application &amp; instruct'!C23)=TRUE,"",'Fillable application &amp; instruct'!C23)</f>
        <v/>
      </c>
      <c r="F10" s="261"/>
      <c r="G10" s="262"/>
      <c r="I10" s="260" t="str">
        <f>IF(ISTEXT('Fillable application &amp; instruct'!F16)=TRUE,'Fillable application &amp; instruct'!F16,"")</f>
        <v/>
      </c>
      <c r="J10" s="261"/>
      <c r="K10" s="262"/>
    </row>
    <row r="11" spans="1:16" x14ac:dyDescent="0.25">
      <c r="A11" s="140" t="s">
        <v>500</v>
      </c>
      <c r="B11" s="108"/>
      <c r="C11" s="141"/>
      <c r="D11" s="111"/>
      <c r="E11" s="140" t="s">
        <v>611</v>
      </c>
      <c r="F11" s="108"/>
      <c r="G11" s="141"/>
      <c r="I11" s="140" t="s">
        <v>624</v>
      </c>
      <c r="J11" s="108"/>
      <c r="K11" s="141"/>
    </row>
    <row r="12" spans="1:16" x14ac:dyDescent="0.25">
      <c r="A12" s="260" t="str">
        <f>IF(ISTEXT('Fillable application &amp; instruct'!C11)=TRUE, 'Fillable application &amp; instruct'!C11,"")</f>
        <v/>
      </c>
      <c r="B12" s="261"/>
      <c r="C12" s="262"/>
      <c r="D12" s="111"/>
      <c r="E12" s="260" t="str">
        <f>IF(ISTEXT('Fillable application &amp; instruct'!C24)=TRUE,'Fillable application &amp; instruct'!C24,"")</f>
        <v/>
      </c>
      <c r="F12" s="261"/>
      <c r="G12" s="262"/>
      <c r="I12" s="260" t="str">
        <f>IF(ISNUMBER('Fillable application &amp; instruct'!F17)=TRUE,'Fillable application &amp; instruct'!F17,"")</f>
        <v/>
      </c>
      <c r="J12" s="261"/>
      <c r="K12" s="262"/>
    </row>
    <row r="13" spans="1:16" x14ac:dyDescent="0.25">
      <c r="A13" s="142" t="s">
        <v>501</v>
      </c>
      <c r="B13" s="112" t="s">
        <v>502</v>
      </c>
      <c r="C13" s="143"/>
      <c r="D13" s="111"/>
      <c r="E13" s="140" t="s">
        <v>612</v>
      </c>
      <c r="F13" s="109"/>
      <c r="G13" s="147" t="s">
        <v>571</v>
      </c>
      <c r="I13" s="140" t="s">
        <v>625</v>
      </c>
      <c r="J13" s="108"/>
      <c r="K13" s="141"/>
    </row>
    <row r="14" spans="1:16" x14ac:dyDescent="0.25">
      <c r="A14" s="263" t="str">
        <f>IF(ISTEXT('Fillable application &amp; instruct'!C12)=TRUE, 'Fillable application &amp; instruct'!C12,"")</f>
        <v/>
      </c>
      <c r="B14" s="264" t="str">
        <f>IF(ISBLANK('Fillable application &amp; instruct'!C13)=TRUE,"",'Fillable application &amp; instruct'!C13)</f>
        <v/>
      </c>
      <c r="C14" s="144"/>
      <c r="D14" s="111"/>
      <c r="E14" s="260" t="str">
        <f>IF(ISTEXT('Fillable application &amp; instruct'!C25)=TRUE,'Fillable application &amp; instruct'!C25,"")</f>
        <v/>
      </c>
      <c r="F14" s="265"/>
      <c r="G14" s="266" t="str">
        <f>IF(ISTEXT('Fillable application &amp; instruct'!C22)=TRUE,'Fillable application &amp; instruct'!C22,"")</f>
        <v/>
      </c>
      <c r="I14" s="267" t="str">
        <f>IF(ISNUMBER('Fillable application &amp; instruct'!F18)=TRUE,'Fillable application &amp; instruct'!F18,"")</f>
        <v/>
      </c>
      <c r="J14" s="261"/>
      <c r="K14" s="262"/>
    </row>
    <row r="15" spans="1:16" x14ac:dyDescent="0.25">
      <c r="A15" s="145"/>
      <c r="B15" s="108"/>
      <c r="C15" s="141"/>
      <c r="D15" s="111"/>
      <c r="E15" s="140" t="s">
        <v>569</v>
      </c>
      <c r="F15" s="108"/>
      <c r="G15" s="141"/>
      <c r="I15" s="140" t="s">
        <v>517</v>
      </c>
      <c r="J15" s="108"/>
      <c r="K15" s="141"/>
      <c r="O15" s="107"/>
      <c r="P15" s="107"/>
    </row>
    <row r="16" spans="1:16" x14ac:dyDescent="0.25">
      <c r="A16" s="271"/>
      <c r="B16" s="272"/>
      <c r="C16" s="273"/>
      <c r="D16" s="111"/>
      <c r="E16" s="260" t="str">
        <f>IF(ISTEXT('Fillable application &amp; instruct'!C26)=TRUE,'Fillable application &amp; instruct'!C26,"")</f>
        <v/>
      </c>
      <c r="F16" s="261"/>
      <c r="G16" s="262"/>
      <c r="I16" s="260" t="str">
        <f>IF(ISTEXT('Fillable application &amp; instruct'!F19)=TRUE,'Fillable application &amp; instruct'!F19,"")</f>
        <v/>
      </c>
      <c r="J16" s="261"/>
      <c r="K16" s="262"/>
      <c r="O16" s="107"/>
      <c r="P16" s="107"/>
    </row>
    <row r="17" spans="1:16" x14ac:dyDescent="0.25">
      <c r="A17" s="257" t="s">
        <v>689</v>
      </c>
      <c r="B17" s="258"/>
      <c r="C17" s="259"/>
      <c r="D17" s="110"/>
      <c r="E17" s="140" t="s">
        <v>500</v>
      </c>
      <c r="F17" s="108"/>
      <c r="G17" s="141"/>
      <c r="I17" s="257" t="s">
        <v>693</v>
      </c>
      <c r="J17" s="258"/>
      <c r="K17" s="259"/>
      <c r="O17" s="107"/>
      <c r="P17" s="107"/>
    </row>
    <row r="18" spans="1:16" x14ac:dyDescent="0.25">
      <c r="A18" s="140" t="s">
        <v>731</v>
      </c>
      <c r="B18" s="108"/>
      <c r="C18" s="141"/>
      <c r="D18" s="111"/>
      <c r="E18" s="271" t="str">
        <f>IF(ISTEXT('Fillable application &amp; instruct'!C27)=TRUE,'Fillable application &amp; instruct'!C27,"")</f>
        <v/>
      </c>
      <c r="F18" s="272"/>
      <c r="G18" s="273"/>
      <c r="I18" s="140" t="s">
        <v>620</v>
      </c>
      <c r="J18" s="108"/>
      <c r="K18" s="141"/>
      <c r="O18" s="107"/>
      <c r="P18" s="107"/>
    </row>
    <row r="19" spans="1:16" x14ac:dyDescent="0.25">
      <c r="A19" s="260" t="str">
        <f>IF(ISTEXT('Fillable application &amp; instruct'!C16)=TRUE,'Fillable application &amp; instruct'!C16,"")</f>
        <v/>
      </c>
      <c r="B19" s="261"/>
      <c r="C19" s="262"/>
      <c r="D19" s="111"/>
      <c r="E19" s="142" t="s">
        <v>501</v>
      </c>
      <c r="F19" s="112" t="s">
        <v>502</v>
      </c>
      <c r="G19" s="143"/>
      <c r="I19" s="268" t="str">
        <f>IF(ISBLANK('Fillable application &amp; instruct'!F11)=TRUE,"",'Fillable application &amp; instruct'!F11)</f>
        <v/>
      </c>
      <c r="J19" s="261"/>
      <c r="K19" s="262"/>
      <c r="O19" s="107"/>
      <c r="P19" s="107"/>
    </row>
    <row r="20" spans="1:16" x14ac:dyDescent="0.25">
      <c r="A20" s="140" t="s">
        <v>732</v>
      </c>
      <c r="B20" s="108"/>
      <c r="C20" s="141"/>
      <c r="D20" s="111"/>
      <c r="E20" s="263" t="str">
        <f>IF(ISTEXT('Fillable application &amp; instruct'!C28)=TRUE,'Fillable application &amp; instruct'!C28,"")</f>
        <v/>
      </c>
      <c r="F20" s="264" t="str">
        <f>IF(ISBLANK('Fillable application &amp; instruct'!C29)=TRUE,"",'Fillable application &amp; instruct'!C29)</f>
        <v/>
      </c>
      <c r="G20" s="144"/>
      <c r="I20" s="140" t="s">
        <v>621</v>
      </c>
      <c r="J20" s="108"/>
      <c r="K20" s="141"/>
      <c r="O20" s="107"/>
      <c r="P20" s="107"/>
    </row>
    <row r="21" spans="1:16" x14ac:dyDescent="0.25">
      <c r="A21" s="260" t="str">
        <f>IF(ISBLANK('Fillable application &amp; instruct'!C17)=TRUE,"",'Fillable application &amp; instruct'!C17)</f>
        <v/>
      </c>
      <c r="B21" s="261"/>
      <c r="C21" s="262"/>
      <c r="D21" s="111"/>
      <c r="E21" s="257" t="s">
        <v>691</v>
      </c>
      <c r="F21" s="258"/>
      <c r="G21" s="259"/>
      <c r="I21" s="268" t="str">
        <f>IF(ISBLANK('Fillable application &amp; instruct'!F12)=TRUE,"",'Fillable application &amp; instruct'!F12)</f>
        <v/>
      </c>
      <c r="J21" s="261"/>
      <c r="K21" s="262"/>
      <c r="O21" s="107"/>
      <c r="P21" s="107"/>
    </row>
    <row r="22" spans="1:16" x14ac:dyDescent="0.25">
      <c r="A22" s="140" t="s">
        <v>611</v>
      </c>
      <c r="B22" s="108"/>
      <c r="C22" s="141"/>
      <c r="D22" s="111"/>
      <c r="E22" s="140" t="s">
        <v>726</v>
      </c>
      <c r="F22" s="108"/>
      <c r="G22" s="141"/>
      <c r="I22" s="140" t="s">
        <v>725</v>
      </c>
      <c r="J22" s="108"/>
      <c r="K22" s="141"/>
      <c r="O22" s="107"/>
      <c r="P22" s="107"/>
    </row>
    <row r="23" spans="1:16" ht="15" customHeight="1" x14ac:dyDescent="0.25">
      <c r="A23" s="260" t="str">
        <f>IF(ISTEXT('Fillable application &amp; instruct'!C18)=TRUE,'Fillable application &amp; instruct'!C18,"")</f>
        <v/>
      </c>
      <c r="B23" s="261"/>
      <c r="C23" s="262"/>
      <c r="D23" s="111"/>
      <c r="E23" s="271" t="str">
        <f>IF(ISTEXT('Fillable application &amp; instruct'!C32)=TRUE,'Fillable application &amp; instruct'!C32,"")</f>
        <v/>
      </c>
      <c r="F23" s="272"/>
      <c r="G23" s="273"/>
      <c r="I23" s="452" t="str">
        <f>IF(ISTEXT('Fillable application &amp; instruct'!$F$9)=TRUE,'Fillable application &amp; instruct'!F9,"")</f>
        <v/>
      </c>
      <c r="J23" s="453"/>
      <c r="K23" s="454"/>
      <c r="O23" s="107"/>
      <c r="P23" s="107"/>
    </row>
    <row r="24" spans="1:16" x14ac:dyDescent="0.25">
      <c r="A24" s="257" t="s">
        <v>690</v>
      </c>
      <c r="B24" s="258"/>
      <c r="C24" s="259"/>
      <c r="D24" s="110"/>
      <c r="E24" s="140" t="s">
        <v>610</v>
      </c>
      <c r="F24" s="108"/>
      <c r="G24" s="141"/>
      <c r="I24" s="452"/>
      <c r="J24" s="453"/>
      <c r="K24" s="454"/>
      <c r="O24" s="107"/>
      <c r="P24" s="107"/>
    </row>
    <row r="25" spans="1:16" x14ac:dyDescent="0.25">
      <c r="A25" s="140" t="s">
        <v>630</v>
      </c>
      <c r="B25" s="108"/>
      <c r="C25" s="141"/>
      <c r="D25" s="111"/>
      <c r="E25" s="260" t="str">
        <f>IF(ISBLANK('Fillable application &amp; instruct'!C33)=TRUE,"",'Fillable application &amp; instruct'!C33)</f>
        <v/>
      </c>
      <c r="F25" s="261"/>
      <c r="G25" s="262"/>
      <c r="I25" s="452"/>
      <c r="J25" s="453"/>
      <c r="K25" s="454"/>
      <c r="O25" s="107"/>
      <c r="P25" s="107"/>
    </row>
    <row r="26" spans="1:16" x14ac:dyDescent="0.25">
      <c r="A26" s="260" t="str">
        <f>IF(ISTEXT('Fillable application &amp; instruct'!F27)=TRUE,'Fillable application &amp; instruct'!F27,"")</f>
        <v/>
      </c>
      <c r="B26" s="261"/>
      <c r="C26" s="262"/>
      <c r="D26" s="111"/>
      <c r="E26" s="140" t="s">
        <v>611</v>
      </c>
      <c r="F26" s="108"/>
      <c r="G26" s="141"/>
      <c r="I26" s="452"/>
      <c r="J26" s="453"/>
      <c r="K26" s="454"/>
      <c r="L26" s="135"/>
      <c r="O26" s="107"/>
      <c r="P26" s="107"/>
    </row>
    <row r="27" spans="1:16" x14ac:dyDescent="0.25">
      <c r="A27" s="140" t="s">
        <v>733</v>
      </c>
      <c r="B27" s="108"/>
      <c r="C27" s="141"/>
      <c r="D27" s="111"/>
      <c r="E27" s="260" t="str">
        <f>IF(ISTEXT('Fillable application &amp; instruct'!C34)=TRUE,'Fillable application &amp; instruct'!C34,"")</f>
        <v/>
      </c>
      <c r="F27" s="261"/>
      <c r="G27" s="262"/>
      <c r="I27" s="452"/>
      <c r="J27" s="453"/>
      <c r="K27" s="454"/>
      <c r="O27" s="107"/>
      <c r="P27" s="107"/>
    </row>
    <row r="28" spans="1:16" x14ac:dyDescent="0.25">
      <c r="A28" s="260" t="str">
        <f>IF(ISTEXT('Fillable application &amp; instruct'!F29)=TRUE,'Fillable application &amp; instruct'!F29,"")</f>
        <v/>
      </c>
      <c r="B28" s="261"/>
      <c r="C28" s="146" t="s">
        <v>567</v>
      </c>
      <c r="D28" s="111"/>
      <c r="E28" s="257" t="s">
        <v>692</v>
      </c>
      <c r="F28" s="258"/>
      <c r="G28" s="259"/>
      <c r="I28" s="452"/>
      <c r="J28" s="453"/>
      <c r="K28" s="454"/>
      <c r="O28" s="107"/>
      <c r="P28" s="107"/>
    </row>
    <row r="29" spans="1:16" x14ac:dyDescent="0.25">
      <c r="A29" s="140" t="s">
        <v>734</v>
      </c>
      <c r="B29" s="108"/>
      <c r="C29" s="141"/>
      <c r="D29" s="111"/>
      <c r="E29" s="140" t="s">
        <v>730</v>
      </c>
      <c r="F29" s="108"/>
      <c r="G29" s="141"/>
      <c r="I29" s="455"/>
      <c r="J29" s="456"/>
      <c r="K29" s="457"/>
      <c r="O29" s="107"/>
      <c r="P29" s="107"/>
    </row>
    <row r="30" spans="1:16" x14ac:dyDescent="0.25">
      <c r="A30" s="260" t="str">
        <f>IF(ISBLANK('Fillable application &amp; instruct'!F28)=TRUE,"",'Fillable application &amp; instruct'!F28)</f>
        <v/>
      </c>
      <c r="B30" s="261"/>
      <c r="C30" s="262"/>
      <c r="D30" s="111"/>
      <c r="E30" s="260" t="str">
        <f>IF(ISTEXT('Fillable application &amp; instruct'!C37)=TRUE,'Fillable application &amp; instruct'!C37,"")</f>
        <v/>
      </c>
      <c r="F30" s="261"/>
      <c r="G30" s="262"/>
      <c r="I30" s="257" t="s">
        <v>694</v>
      </c>
      <c r="J30" s="258"/>
      <c r="K30" s="259"/>
      <c r="O30" s="107"/>
      <c r="P30" s="107"/>
    </row>
    <row r="31" spans="1:16" x14ac:dyDescent="0.25">
      <c r="A31" s="140" t="s">
        <v>735</v>
      </c>
      <c r="B31" s="108"/>
      <c r="C31" s="141"/>
      <c r="D31" s="111"/>
      <c r="E31" s="140" t="s">
        <v>617</v>
      </c>
      <c r="F31" s="108"/>
      <c r="G31" s="141"/>
      <c r="I31" s="149" t="s">
        <v>727</v>
      </c>
      <c r="J31" s="108"/>
      <c r="K31" s="141"/>
      <c r="O31" s="107"/>
      <c r="P31" s="107"/>
    </row>
    <row r="32" spans="1:16" x14ac:dyDescent="0.25">
      <c r="A32" s="260" t="str">
        <f>IF(ISTEXT('Fillable application &amp; instruct'!F30)=TRUE,'Fillable application &amp; instruct'!F30,"")</f>
        <v/>
      </c>
      <c r="B32" s="261"/>
      <c r="C32" s="262"/>
      <c r="D32" s="111"/>
      <c r="E32" s="260" t="str">
        <f>IF(ISTEXT('Fillable application &amp; instruct'!C39)=TRUE,'Fillable application &amp; instruct'!C39,"")</f>
        <v/>
      </c>
      <c r="F32" s="261"/>
      <c r="G32" s="262"/>
      <c r="H32" s="111"/>
      <c r="I32" s="271" t="str">
        <f>IF(ISTEXT('Fillable application &amp; instruct'!F41)=TRUE,'Fillable application &amp; instruct'!F41,"")</f>
        <v/>
      </c>
      <c r="J32" s="272"/>
      <c r="K32" s="273"/>
      <c r="L32" s="107"/>
      <c r="M32" s="107"/>
      <c r="N32" s="107"/>
      <c r="O32" s="107"/>
      <c r="P32" s="107"/>
    </row>
    <row r="33" spans="1:16" x14ac:dyDescent="0.25">
      <c r="A33" s="140" t="s">
        <v>500</v>
      </c>
      <c r="B33" s="108"/>
      <c r="C33" s="141"/>
      <c r="D33" s="111"/>
      <c r="E33" s="140" t="s">
        <v>521</v>
      </c>
      <c r="F33" s="108"/>
      <c r="G33" s="141"/>
      <c r="H33" s="111"/>
      <c r="I33" s="140" t="s">
        <v>728</v>
      </c>
      <c r="J33" s="108"/>
      <c r="K33" s="141"/>
      <c r="L33" s="107"/>
      <c r="M33" s="107"/>
      <c r="N33" s="107"/>
      <c r="O33" s="107"/>
      <c r="P33" s="107"/>
    </row>
    <row r="34" spans="1:16" x14ac:dyDescent="0.25">
      <c r="A34" s="260" t="str">
        <f>IF(ISTEXT('Fillable application &amp; instruct'!F31)=TRUE,'Fillable application &amp; instruct'!F31,"")</f>
        <v/>
      </c>
      <c r="B34" s="261"/>
      <c r="C34" s="262"/>
      <c r="D34" s="111"/>
      <c r="E34" s="260" t="str">
        <f>IF(ISTEXT('Fillable application &amp; instruct'!C44)=TRUE,'Fillable application &amp; instruct'!C44,"")</f>
        <v/>
      </c>
      <c r="F34" s="261"/>
      <c r="G34" s="262"/>
      <c r="H34" s="111"/>
      <c r="I34" s="260" t="str">
        <f>IF(ISTEXT('Fillable application &amp; instruct'!F42)=TRUE,'Fillable application &amp; instruct'!F42,"")</f>
        <v/>
      </c>
      <c r="J34" s="261"/>
      <c r="K34" s="262"/>
      <c r="L34" s="107"/>
      <c r="M34" s="107"/>
      <c r="N34" s="107"/>
      <c r="O34" s="107"/>
      <c r="P34" s="107"/>
    </row>
    <row r="35" spans="1:16" x14ac:dyDescent="0.25">
      <c r="A35" s="142" t="s">
        <v>501</v>
      </c>
      <c r="B35" s="112" t="s">
        <v>502</v>
      </c>
      <c r="C35" s="143"/>
      <c r="D35" s="111"/>
      <c r="E35" s="140" t="s">
        <v>569</v>
      </c>
      <c r="F35" s="108"/>
      <c r="G35" s="141"/>
      <c r="H35" s="111"/>
      <c r="I35" s="140" t="s">
        <v>518</v>
      </c>
      <c r="J35" s="108"/>
      <c r="K35" s="141"/>
      <c r="L35" s="107"/>
      <c r="M35" s="107"/>
      <c r="N35" s="107"/>
      <c r="O35" s="107"/>
      <c r="P35" s="107"/>
    </row>
    <row r="36" spans="1:16" x14ac:dyDescent="0.25">
      <c r="A36" s="263" t="str">
        <f>IF(ISTEXT('Fillable application &amp; instruct'!F32)=TRUE,'Fillable application &amp; instruct'!F32,"")</f>
        <v/>
      </c>
      <c r="B36" s="264" t="str">
        <f>IF(ISBLANK('Fillable application &amp; instruct'!F33)=TRUE,"",'Fillable application &amp; instruct'!F33)</f>
        <v/>
      </c>
      <c r="C36" s="144"/>
      <c r="D36" s="111"/>
      <c r="E36" s="260" t="str">
        <f>IF(ISTEXT('Fillable application &amp; instruct'!C40)=TRUE,'Fillable application &amp; instruct'!C40,"")</f>
        <v/>
      </c>
      <c r="F36" s="261"/>
      <c r="G36" s="262"/>
      <c r="H36" s="111"/>
      <c r="I36" s="260" t="str">
        <f>IF(ISTEXT('Fillable application &amp; instruct'!F43)=TRUE,'Fillable application &amp; instruct'!F43,"")</f>
        <v/>
      </c>
      <c r="J36" s="261"/>
      <c r="K36" s="262"/>
      <c r="L36" s="107"/>
      <c r="M36" s="107"/>
      <c r="N36" s="107"/>
      <c r="O36" s="107"/>
      <c r="P36" s="107"/>
    </row>
    <row r="37" spans="1:16" x14ac:dyDescent="0.25">
      <c r="A37" s="140" t="s">
        <v>568</v>
      </c>
      <c r="B37" s="108"/>
      <c r="C37" s="141"/>
      <c r="D37" s="111"/>
      <c r="E37" s="140" t="s">
        <v>500</v>
      </c>
      <c r="F37" s="108"/>
      <c r="G37" s="141"/>
      <c r="H37" s="111"/>
      <c r="I37" s="140" t="s">
        <v>729</v>
      </c>
      <c r="J37" s="108"/>
      <c r="K37" s="141"/>
      <c r="L37" s="107"/>
      <c r="M37" s="107"/>
      <c r="O37" s="107"/>
      <c r="P37" s="107"/>
    </row>
    <row r="38" spans="1:16" x14ac:dyDescent="0.25">
      <c r="A38" s="260" t="str">
        <f>IF(ISTEXT('Fillable application &amp; instruct'!F38)=TRUE,'Fillable application &amp; instruct'!F38,"")</f>
        <v/>
      </c>
      <c r="B38" s="261"/>
      <c r="C38" s="262"/>
      <c r="D38" s="111"/>
      <c r="E38" s="260" t="str">
        <f>IF(ISTEXT('Fillable application &amp; instruct'!C41)=TRUE,'Fillable application &amp; instruct'!C41,"")</f>
        <v/>
      </c>
      <c r="F38" s="261"/>
      <c r="G38" s="262"/>
      <c r="H38" s="111"/>
      <c r="I38" s="260" t="str">
        <f>IF(ISTEXT('Fillable application &amp; instruct'!F44)=TRUE,'Fillable application &amp; instruct'!F44,"")</f>
        <v/>
      </c>
      <c r="J38" s="261"/>
      <c r="K38" s="262"/>
      <c r="L38" s="107"/>
      <c r="M38" s="107"/>
      <c r="N38" s="107"/>
      <c r="O38" s="107"/>
      <c r="P38" s="107"/>
    </row>
    <row r="39" spans="1:16" x14ac:dyDescent="0.25">
      <c r="A39" s="140" t="s">
        <v>570</v>
      </c>
      <c r="B39" s="108"/>
      <c r="C39" s="141"/>
      <c r="D39" s="111"/>
      <c r="E39" s="142" t="s">
        <v>501</v>
      </c>
      <c r="F39" s="112" t="s">
        <v>502</v>
      </c>
      <c r="G39" s="143"/>
      <c r="H39" s="107"/>
      <c r="I39" s="140" t="s">
        <v>520</v>
      </c>
      <c r="J39" s="108"/>
      <c r="K39" s="141"/>
      <c r="L39" s="107"/>
      <c r="M39" s="107"/>
      <c r="N39" s="107"/>
      <c r="O39" s="107"/>
      <c r="P39" s="107"/>
    </row>
    <row r="40" spans="1:16" ht="15.75" thickBot="1" x14ac:dyDescent="0.3">
      <c r="A40" s="274">
        <f>IF('Fillable application &amp; instruct'!F36="Other:",'Fillable application &amp; instruct'!F37,'Fillable application &amp; instruct'!F36)</f>
        <v>0</v>
      </c>
      <c r="B40" s="275"/>
      <c r="C40" s="276"/>
      <c r="D40" s="111"/>
      <c r="E40" s="269" t="str">
        <f>IF(ISTEXT('Fillable application &amp; instruct'!C42)=TRUE,'Fillable application &amp; instruct'!C42,"")</f>
        <v/>
      </c>
      <c r="F40" s="270" t="str">
        <f>IF(ISBLANK('Fillable application &amp; instruct'!C43)=TRUE,"",'Fillable application &amp; instruct'!C43)</f>
        <v/>
      </c>
      <c r="G40" s="148"/>
      <c r="H40" s="107"/>
      <c r="I40" s="274" t="str">
        <f>IF(ISTEXT('Fillable application &amp; instruct'!F45)=TRUE,'Fillable application &amp; instruct'!F45,"")</f>
        <v/>
      </c>
      <c r="J40" s="275"/>
      <c r="K40" s="276"/>
    </row>
    <row r="41" spans="1:16" ht="15.75" thickBot="1" x14ac:dyDescent="0.3">
      <c r="A41" s="107"/>
    </row>
    <row r="42" spans="1:16" ht="15.75" x14ac:dyDescent="0.25">
      <c r="A42" s="277" t="s">
        <v>112</v>
      </c>
      <c r="B42" s="131"/>
      <c r="C42" s="131"/>
      <c r="D42" s="131"/>
      <c r="E42" s="131"/>
      <c r="F42" s="278"/>
      <c r="G42" s="278"/>
      <c r="H42" s="278"/>
      <c r="I42" s="278"/>
      <c r="J42" s="278"/>
      <c r="K42" s="132"/>
    </row>
    <row r="43" spans="1:16" ht="15.75" x14ac:dyDescent="0.25">
      <c r="A43" s="133"/>
      <c r="B43" s="134"/>
      <c r="C43" s="134"/>
      <c r="D43" s="134"/>
      <c r="E43" s="134"/>
      <c r="F43" s="279"/>
      <c r="G43" s="279"/>
      <c r="H43" s="279"/>
      <c r="I43" s="279"/>
      <c r="J43" s="279"/>
      <c r="K43" s="136"/>
    </row>
    <row r="44" spans="1:16" ht="16.5" thickBot="1" x14ac:dyDescent="0.3">
      <c r="A44" s="280" t="s">
        <v>113</v>
      </c>
      <c r="B44" s="281"/>
      <c r="C44" s="137"/>
      <c r="D44" s="137"/>
      <c r="E44" s="137"/>
      <c r="F44" s="138"/>
      <c r="G44" s="138"/>
      <c r="H44" s="138"/>
      <c r="I44" s="281" t="s">
        <v>584</v>
      </c>
      <c r="J44" s="138"/>
      <c r="K44" s="139"/>
    </row>
    <row r="68" spans="1:11" x14ac:dyDescent="0.25">
      <c r="A68" s="460" t="s">
        <v>740</v>
      </c>
      <c r="B68" s="460"/>
      <c r="C68" s="460"/>
      <c r="D68" s="460"/>
      <c r="E68" s="460"/>
      <c r="F68" s="460"/>
    </row>
    <row r="69" spans="1:11" ht="11.25" customHeight="1" x14ac:dyDescent="0.25">
      <c r="A69" s="460" t="s">
        <v>741</v>
      </c>
      <c r="B69" s="460"/>
      <c r="C69" s="460"/>
      <c r="D69" s="460"/>
      <c r="E69" s="460"/>
      <c r="F69" s="460"/>
      <c r="K69" s="152"/>
    </row>
    <row r="70" spans="1:11" ht="12.75" customHeight="1" x14ac:dyDescent="0.25">
      <c r="A70" s="460" t="s">
        <v>742</v>
      </c>
      <c r="B70" s="460"/>
      <c r="C70" s="460"/>
      <c r="D70" s="460"/>
      <c r="E70" s="460"/>
      <c r="F70" s="460"/>
    </row>
  </sheetData>
  <mergeCells count="5">
    <mergeCell ref="I23:K29"/>
    <mergeCell ref="A3:E4"/>
    <mergeCell ref="A68:F68"/>
    <mergeCell ref="A69:F69"/>
    <mergeCell ref="A70:F70"/>
  </mergeCells>
  <pageMargins left="0.7" right="0.7" top="0.75" bottom="0.75" header="0.3" footer="0.3"/>
  <pageSetup scale="62"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EA554-7035-4AB9-AB11-DF614AC07951}">
  <sheetPr>
    <tabColor rgb="FFED1653"/>
  </sheetPr>
  <dimension ref="B1:AD111"/>
  <sheetViews>
    <sheetView showGridLines="0" zoomScale="80" zoomScaleNormal="80" workbookViewId="0">
      <selection activeCell="J40" sqref="J40"/>
    </sheetView>
  </sheetViews>
  <sheetFormatPr defaultRowHeight="15" x14ac:dyDescent="0.25"/>
  <cols>
    <col min="2" max="2" width="106.5703125" bestFit="1" customWidth="1"/>
    <col min="3" max="3" width="13.140625" bestFit="1" customWidth="1"/>
    <col min="4" max="4" width="12.85546875" bestFit="1" customWidth="1"/>
    <col min="5" max="5" width="12.7109375" bestFit="1" customWidth="1"/>
    <col min="6" max="6" width="16.5703125" bestFit="1" customWidth="1"/>
    <col min="7" max="7" width="31.5703125" bestFit="1" customWidth="1"/>
    <col min="8" max="8" width="118" bestFit="1" customWidth="1"/>
    <col min="10" max="10" width="99.28515625" customWidth="1"/>
    <col min="11" max="11" width="11.42578125" customWidth="1"/>
    <col min="12" max="12" width="15.28515625" bestFit="1" customWidth="1"/>
    <col min="13" max="13" width="19.140625" bestFit="1" customWidth="1"/>
    <col min="14" max="14" width="12" bestFit="1" customWidth="1"/>
    <col min="15" max="15" width="15.28515625" bestFit="1" customWidth="1"/>
    <col min="16" max="16" width="17.85546875" bestFit="1" customWidth="1"/>
    <col min="20" max="20" width="39.5703125" bestFit="1" customWidth="1"/>
    <col min="22" max="22" width="20.7109375" bestFit="1" customWidth="1"/>
    <col min="23" max="23" width="20" bestFit="1" customWidth="1"/>
    <col min="25" max="25" width="38.28515625" bestFit="1" customWidth="1"/>
    <col min="27" max="27" width="39.7109375" bestFit="1" customWidth="1"/>
    <col min="29" max="29" width="17.85546875" bestFit="1" customWidth="1"/>
    <col min="30" max="30" width="114.140625" bestFit="1" customWidth="1"/>
    <col min="32" max="32" width="13.85546875" bestFit="1" customWidth="1"/>
    <col min="34" max="34" width="29.140625" bestFit="1" customWidth="1"/>
    <col min="36" max="36" width="39.140625" bestFit="1" customWidth="1"/>
    <col min="38" max="38" width="28.140625" bestFit="1" customWidth="1"/>
    <col min="40" max="40" width="12" bestFit="1" customWidth="1"/>
    <col min="41" max="41" width="12.140625" bestFit="1" customWidth="1"/>
    <col min="43" max="43" width="22.5703125" bestFit="1" customWidth="1"/>
  </cols>
  <sheetData>
    <row r="1" spans="2:30" ht="19.5" x14ac:dyDescent="0.3">
      <c r="B1" s="291" t="s">
        <v>136</v>
      </c>
      <c r="C1" s="292"/>
      <c r="D1" s="292"/>
      <c r="E1" s="292"/>
      <c r="F1" s="292"/>
      <c r="G1" s="292"/>
      <c r="H1" s="292"/>
      <c r="J1" s="291" t="s">
        <v>32</v>
      </c>
      <c r="K1" s="291"/>
      <c r="L1" s="291"/>
      <c r="M1" s="291"/>
      <c r="N1" s="291"/>
      <c r="O1" s="291"/>
      <c r="P1" s="291"/>
      <c r="T1" s="291" t="s">
        <v>135</v>
      </c>
      <c r="U1" s="294"/>
      <c r="V1" s="291" t="s">
        <v>46</v>
      </c>
      <c r="W1" s="291"/>
      <c r="X1" s="294"/>
      <c r="Y1" s="291" t="s">
        <v>137</v>
      </c>
      <c r="Z1" s="294"/>
      <c r="AA1" s="291" t="s">
        <v>21</v>
      </c>
      <c r="AB1" s="291"/>
      <c r="AC1" s="291"/>
      <c r="AD1" s="291"/>
    </row>
    <row r="2" spans="2:30" x14ac:dyDescent="0.25">
      <c r="B2" s="185" t="s">
        <v>138</v>
      </c>
      <c r="K2" s="293" t="s">
        <v>139</v>
      </c>
      <c r="L2" s="293"/>
      <c r="M2" s="293"/>
      <c r="N2" s="293" t="s">
        <v>140</v>
      </c>
      <c r="O2" s="293"/>
      <c r="P2" s="293"/>
      <c r="Q2" s="285" t="s">
        <v>578</v>
      </c>
      <c r="R2" s="284"/>
      <c r="T2" s="14" t="s">
        <v>141</v>
      </c>
      <c r="V2" s="14" t="s">
        <v>53</v>
      </c>
      <c r="W2" s="14" t="s">
        <v>142</v>
      </c>
      <c r="Y2" s="14" t="s">
        <v>143</v>
      </c>
      <c r="AA2" s="14" t="s">
        <v>144</v>
      </c>
      <c r="AC2" s="14" t="s">
        <v>23</v>
      </c>
      <c r="AD2" s="14" t="s">
        <v>159</v>
      </c>
    </row>
    <row r="3" spans="2:30" x14ac:dyDescent="0.25">
      <c r="B3" s="9" t="s">
        <v>10</v>
      </c>
      <c r="J3" s="185" t="s">
        <v>145</v>
      </c>
      <c r="K3" s="185" t="s">
        <v>146</v>
      </c>
      <c r="L3" s="185" t="s">
        <v>147</v>
      </c>
      <c r="M3" s="185" t="s">
        <v>148</v>
      </c>
      <c r="N3" s="185" t="s">
        <v>146</v>
      </c>
      <c r="O3" s="185" t="s">
        <v>147</v>
      </c>
      <c r="P3" s="185" t="s">
        <v>148</v>
      </c>
      <c r="Q3" s="283" t="s">
        <v>579</v>
      </c>
      <c r="R3" s="283" t="s">
        <v>580</v>
      </c>
      <c r="T3" s="9" t="s">
        <v>149</v>
      </c>
      <c r="V3" s="9" t="s">
        <v>150</v>
      </c>
      <c r="W3" s="9" t="s">
        <v>151</v>
      </c>
      <c r="Y3" s="9" t="s">
        <v>152</v>
      </c>
      <c r="AA3" s="9" t="s">
        <v>153</v>
      </c>
      <c r="AC3" s="9"/>
      <c r="AD3" s="9"/>
    </row>
    <row r="4" spans="2:30" x14ac:dyDescent="0.25">
      <c r="B4" s="9" t="s">
        <v>154</v>
      </c>
      <c r="J4" s="123" t="s">
        <v>778</v>
      </c>
      <c r="K4" s="123">
        <v>11.8</v>
      </c>
      <c r="L4" s="123">
        <v>13.4</v>
      </c>
      <c r="M4" s="121"/>
      <c r="N4" s="123">
        <v>12.3</v>
      </c>
      <c r="O4" s="341">
        <v>14.5</v>
      </c>
      <c r="P4" s="121"/>
      <c r="Q4" s="123">
        <v>0</v>
      </c>
      <c r="R4" s="123">
        <v>5.4199900000000003</v>
      </c>
      <c r="T4" s="9" t="s">
        <v>155</v>
      </c>
      <c r="V4" s="9" t="s">
        <v>156</v>
      </c>
      <c r="Y4" s="9" t="s">
        <v>59</v>
      </c>
      <c r="AA4" s="9" t="s">
        <v>157</v>
      </c>
      <c r="AC4" s="9">
        <v>202725</v>
      </c>
      <c r="AD4" s="9" t="s">
        <v>400</v>
      </c>
    </row>
    <row r="5" spans="2:30" x14ac:dyDescent="0.25">
      <c r="J5" s="123" t="s">
        <v>33</v>
      </c>
      <c r="K5" s="123">
        <v>11.1</v>
      </c>
      <c r="L5" s="123">
        <v>14.7</v>
      </c>
      <c r="M5" s="121"/>
      <c r="N5" s="123">
        <v>12.2</v>
      </c>
      <c r="O5" s="123">
        <v>14.8</v>
      </c>
      <c r="P5" s="121"/>
      <c r="Q5" s="123">
        <v>5.42</v>
      </c>
      <c r="R5" s="123">
        <v>11.24</v>
      </c>
      <c r="Y5" s="9" t="s">
        <v>158</v>
      </c>
      <c r="AC5" s="9">
        <v>202730</v>
      </c>
      <c r="AD5" s="9" t="s">
        <v>401</v>
      </c>
    </row>
    <row r="6" spans="2:30" x14ac:dyDescent="0.25">
      <c r="B6" s="185" t="s">
        <v>159</v>
      </c>
      <c r="C6" s="185" t="s">
        <v>160</v>
      </c>
      <c r="D6" s="185" t="s">
        <v>161</v>
      </c>
      <c r="E6" s="185" t="s">
        <v>29</v>
      </c>
      <c r="F6" s="185" t="s">
        <v>23</v>
      </c>
      <c r="G6" s="185" t="s">
        <v>162</v>
      </c>
      <c r="H6" s="185" t="s">
        <v>159</v>
      </c>
      <c r="J6" s="123" t="s">
        <v>34</v>
      </c>
      <c r="K6" s="123">
        <v>10.9</v>
      </c>
      <c r="L6" s="123">
        <v>14.1</v>
      </c>
      <c r="M6" s="121"/>
      <c r="N6" s="123">
        <v>12.2</v>
      </c>
      <c r="O6" s="123">
        <v>14.8</v>
      </c>
      <c r="P6" s="121"/>
      <c r="Q6" s="123">
        <v>11.25</v>
      </c>
      <c r="R6" s="123">
        <v>19.998999999999999</v>
      </c>
      <c r="T6" s="14" t="s">
        <v>163</v>
      </c>
      <c r="V6" s="14" t="s">
        <v>164</v>
      </c>
      <c r="Y6" s="9" t="s">
        <v>165</v>
      </c>
      <c r="AA6" s="14" t="s">
        <v>166</v>
      </c>
      <c r="AC6" s="9">
        <v>202825</v>
      </c>
      <c r="AD6" s="9" t="s">
        <v>402</v>
      </c>
    </row>
    <row r="7" spans="2:30" x14ac:dyDescent="0.25">
      <c r="B7" s="121" t="s">
        <v>778</v>
      </c>
      <c r="C7" s="15">
        <v>18</v>
      </c>
      <c r="D7" s="15">
        <v>17</v>
      </c>
      <c r="E7" s="9" t="s">
        <v>167</v>
      </c>
      <c r="F7" s="121">
        <v>228030</v>
      </c>
      <c r="G7" s="9" t="s">
        <v>32</v>
      </c>
      <c r="H7" s="121" t="s">
        <v>778</v>
      </c>
      <c r="J7" s="123" t="s">
        <v>774</v>
      </c>
      <c r="K7" s="123">
        <v>9.9</v>
      </c>
      <c r="L7" s="123">
        <v>13.1</v>
      </c>
      <c r="M7" s="121"/>
      <c r="N7" s="123">
        <v>10.8</v>
      </c>
      <c r="O7" s="341">
        <v>13.5</v>
      </c>
      <c r="P7" s="121"/>
      <c r="Q7" s="123">
        <v>20</v>
      </c>
      <c r="R7" s="123">
        <v>999999</v>
      </c>
      <c r="T7" s="16" t="s">
        <v>168</v>
      </c>
      <c r="V7" s="9" t="s">
        <v>169</v>
      </c>
      <c r="Y7" s="9" t="s">
        <v>7</v>
      </c>
      <c r="AA7" s="9" t="s">
        <v>170</v>
      </c>
      <c r="AC7" s="9">
        <v>202830</v>
      </c>
      <c r="AD7" s="9" t="s">
        <v>403</v>
      </c>
    </row>
    <row r="8" spans="2:30" x14ac:dyDescent="0.25">
      <c r="B8" s="121" t="s">
        <v>33</v>
      </c>
      <c r="C8" s="15">
        <v>45</v>
      </c>
      <c r="D8" s="15">
        <v>42</v>
      </c>
      <c r="E8" s="9" t="s">
        <v>167</v>
      </c>
      <c r="F8" s="121">
        <v>228130</v>
      </c>
      <c r="G8" s="9" t="s">
        <v>32</v>
      </c>
      <c r="H8" s="121" t="s">
        <v>33</v>
      </c>
      <c r="J8" s="123" t="s">
        <v>787</v>
      </c>
      <c r="K8" s="344">
        <v>11.8</v>
      </c>
      <c r="L8" s="344">
        <v>13.4</v>
      </c>
      <c r="M8" s="344">
        <v>7.1</v>
      </c>
      <c r="N8" s="344">
        <v>12.3</v>
      </c>
      <c r="O8" s="342">
        <v>14.5</v>
      </c>
      <c r="P8" s="342">
        <v>8</v>
      </c>
      <c r="Q8" s="123">
        <v>0</v>
      </c>
      <c r="R8" s="123">
        <v>5.4199900000000003</v>
      </c>
      <c r="T8" s="16" t="s">
        <v>171</v>
      </c>
      <c r="V8" s="9" t="s">
        <v>55</v>
      </c>
      <c r="Y8" s="9" t="s">
        <v>61</v>
      </c>
      <c r="AA8" s="9" t="s">
        <v>172</v>
      </c>
      <c r="AC8" s="9">
        <v>202925</v>
      </c>
      <c r="AD8" s="9" t="s">
        <v>404</v>
      </c>
    </row>
    <row r="9" spans="2:30" x14ac:dyDescent="0.25">
      <c r="B9" s="121" t="s">
        <v>34</v>
      </c>
      <c r="C9" s="15">
        <v>70</v>
      </c>
      <c r="D9" s="15">
        <v>66</v>
      </c>
      <c r="E9" s="9" t="s">
        <v>167</v>
      </c>
      <c r="F9" s="121">
        <v>228230</v>
      </c>
      <c r="G9" s="9" t="s">
        <v>32</v>
      </c>
      <c r="H9" s="121" t="s">
        <v>34</v>
      </c>
      <c r="J9" s="123" t="s">
        <v>775</v>
      </c>
      <c r="K9" s="344">
        <f>AVERAGE(11,10.8)</f>
        <v>10.9</v>
      </c>
      <c r="L9" s="344">
        <v>14</v>
      </c>
      <c r="M9" s="344">
        <f>3.4*3.412</f>
        <v>11.6008</v>
      </c>
      <c r="N9" s="344">
        <v>11.3</v>
      </c>
      <c r="O9" s="342">
        <v>14.5</v>
      </c>
      <c r="P9" s="344">
        <v>12</v>
      </c>
      <c r="Q9" s="123">
        <v>5.42</v>
      </c>
      <c r="R9" s="123">
        <v>11.24</v>
      </c>
      <c r="T9" s="16" t="s">
        <v>173</v>
      </c>
      <c r="Y9" s="9" t="s">
        <v>174</v>
      </c>
      <c r="AA9" s="9" t="s">
        <v>175</v>
      </c>
      <c r="AC9" s="9">
        <v>202930</v>
      </c>
      <c r="AD9" s="9" t="s">
        <v>405</v>
      </c>
    </row>
    <row r="10" spans="2:30" x14ac:dyDescent="0.25">
      <c r="B10" s="121" t="s">
        <v>774</v>
      </c>
      <c r="C10" s="15">
        <v>46</v>
      </c>
      <c r="D10" s="15">
        <v>43</v>
      </c>
      <c r="E10" s="9" t="s">
        <v>167</v>
      </c>
      <c r="F10" s="121">
        <v>228330</v>
      </c>
      <c r="G10" s="9" t="s">
        <v>32</v>
      </c>
      <c r="H10" s="121" t="s">
        <v>774</v>
      </c>
      <c r="J10" s="123" t="s">
        <v>776</v>
      </c>
      <c r="K10" s="344">
        <f>AVERAGE(10.6,10.4)</f>
        <v>10.5</v>
      </c>
      <c r="L10" s="344">
        <v>13.4</v>
      </c>
      <c r="M10" s="344">
        <f>3.3*3.412</f>
        <v>11.259599999999999</v>
      </c>
      <c r="N10" s="344">
        <v>10.9</v>
      </c>
      <c r="O10" s="342">
        <v>14</v>
      </c>
      <c r="P10" s="344">
        <v>12</v>
      </c>
      <c r="Q10" s="123">
        <v>11.25</v>
      </c>
      <c r="R10" s="123">
        <v>19.9999</v>
      </c>
      <c r="T10" s="16" t="s">
        <v>176</v>
      </c>
      <c r="Y10" s="9" t="s">
        <v>177</v>
      </c>
      <c r="AA10" s="9" t="s">
        <v>178</v>
      </c>
      <c r="AC10" s="9">
        <v>203025</v>
      </c>
      <c r="AD10" s="9" t="s">
        <v>406</v>
      </c>
    </row>
    <row r="11" spans="2:30" x14ac:dyDescent="0.25">
      <c r="B11" s="121" t="s">
        <v>787</v>
      </c>
      <c r="C11" s="15">
        <v>45</v>
      </c>
      <c r="D11" s="15">
        <v>42</v>
      </c>
      <c r="E11" s="9" t="s">
        <v>167</v>
      </c>
      <c r="F11" s="121">
        <v>228430</v>
      </c>
      <c r="G11" s="9" t="s">
        <v>32</v>
      </c>
      <c r="H11" s="121" t="s">
        <v>787</v>
      </c>
      <c r="J11" s="123" t="s">
        <v>777</v>
      </c>
      <c r="K11" s="344">
        <f>AVERAGE(9.5,9.3)</f>
        <v>9.4</v>
      </c>
      <c r="L11" s="344">
        <v>12.4</v>
      </c>
      <c r="M11" s="344">
        <f>3.2*3.412</f>
        <v>10.9184</v>
      </c>
      <c r="N11" s="344">
        <v>10.3</v>
      </c>
      <c r="O11" s="342">
        <v>13</v>
      </c>
      <c r="P11" s="344">
        <v>12</v>
      </c>
      <c r="Q11" s="123">
        <v>20</v>
      </c>
      <c r="R11" s="123">
        <v>999999</v>
      </c>
      <c r="T11" s="16" t="s">
        <v>179</v>
      </c>
      <c r="AA11" s="9" t="s">
        <v>180</v>
      </c>
      <c r="AC11" s="9">
        <v>203030</v>
      </c>
      <c r="AD11" s="9" t="s">
        <v>407</v>
      </c>
    </row>
    <row r="12" spans="2:30" x14ac:dyDescent="0.25">
      <c r="B12" s="121" t="s">
        <v>775</v>
      </c>
      <c r="C12" s="15">
        <v>32</v>
      </c>
      <c r="D12" s="15">
        <v>30</v>
      </c>
      <c r="E12" s="9" t="s">
        <v>167</v>
      </c>
      <c r="F12" s="121">
        <v>228530</v>
      </c>
      <c r="G12" s="9" t="s">
        <v>32</v>
      </c>
      <c r="H12" s="121" t="s">
        <v>775</v>
      </c>
      <c r="T12" s="16" t="s">
        <v>181</v>
      </c>
      <c r="Y12" s="14" t="s">
        <v>182</v>
      </c>
      <c r="AA12" s="9" t="s">
        <v>183</v>
      </c>
      <c r="AC12" s="9">
        <v>203125</v>
      </c>
      <c r="AD12" s="9" t="s">
        <v>408</v>
      </c>
    </row>
    <row r="13" spans="2:30" x14ac:dyDescent="0.25">
      <c r="B13" s="121" t="s">
        <v>776</v>
      </c>
      <c r="C13" s="15">
        <v>39</v>
      </c>
      <c r="D13" s="15">
        <v>37</v>
      </c>
      <c r="E13" s="9" t="s">
        <v>167</v>
      </c>
      <c r="F13" s="121">
        <v>228630</v>
      </c>
      <c r="G13" s="9" t="s">
        <v>32</v>
      </c>
      <c r="H13" s="121" t="s">
        <v>776</v>
      </c>
      <c r="J13" s="286" t="s">
        <v>57</v>
      </c>
      <c r="K13" s="287" t="s">
        <v>184</v>
      </c>
      <c r="L13" s="287" t="s">
        <v>185</v>
      </c>
      <c r="M13" s="287" t="s">
        <v>186</v>
      </c>
      <c r="Y13" s="9" t="s">
        <v>187</v>
      </c>
      <c r="AA13" s="9" t="s">
        <v>188</v>
      </c>
      <c r="AC13" s="9">
        <v>203130</v>
      </c>
      <c r="AD13" s="9" t="s">
        <v>409</v>
      </c>
    </row>
    <row r="14" spans="2:30" x14ac:dyDescent="0.25">
      <c r="B14" s="121" t="s">
        <v>777</v>
      </c>
      <c r="C14" s="15">
        <v>69</v>
      </c>
      <c r="D14" s="15">
        <v>64</v>
      </c>
      <c r="E14" s="9" t="s">
        <v>167</v>
      </c>
      <c r="F14" s="121">
        <v>228730</v>
      </c>
      <c r="G14" s="9" t="s">
        <v>32</v>
      </c>
      <c r="H14" s="121" t="s">
        <v>777</v>
      </c>
      <c r="J14" s="10" t="s">
        <v>189</v>
      </c>
      <c r="K14" s="350">
        <v>2624.4331596223719</v>
      </c>
      <c r="L14" s="350">
        <v>514.54553052325582</v>
      </c>
      <c r="M14" s="11">
        <v>0.82</v>
      </c>
      <c r="T14" s="14" t="s">
        <v>190</v>
      </c>
      <c r="Y14" s="9" t="s">
        <v>191</v>
      </c>
      <c r="AA14" s="9" t="s">
        <v>192</v>
      </c>
      <c r="AC14" s="9">
        <v>203225</v>
      </c>
      <c r="AD14" s="9" t="s">
        <v>410</v>
      </c>
    </row>
    <row r="15" spans="2:30" x14ac:dyDescent="0.25">
      <c r="B15" s="9" t="s">
        <v>41</v>
      </c>
      <c r="C15" s="348">
        <v>90</v>
      </c>
      <c r="D15" s="348">
        <v>80</v>
      </c>
      <c r="E15" s="9" t="s">
        <v>193</v>
      </c>
      <c r="F15" s="9">
        <v>228825</v>
      </c>
      <c r="G15" s="9" t="s">
        <v>32</v>
      </c>
      <c r="H15" s="9" t="s">
        <v>41</v>
      </c>
      <c r="J15" s="10" t="s">
        <v>187</v>
      </c>
      <c r="K15" s="350">
        <v>1790.5345410769364</v>
      </c>
      <c r="L15" s="350">
        <v>193.80179162328227</v>
      </c>
      <c r="M15" s="11">
        <v>0.78</v>
      </c>
      <c r="T15" s="9" t="s">
        <v>194</v>
      </c>
      <c r="Y15" s="9" t="s">
        <v>195</v>
      </c>
      <c r="AA15" s="9" t="s">
        <v>196</v>
      </c>
      <c r="AC15" s="9">
        <v>203230</v>
      </c>
      <c r="AD15" s="9" t="s">
        <v>411</v>
      </c>
    </row>
    <row r="16" spans="2:30" x14ac:dyDescent="0.25">
      <c r="B16" s="9"/>
      <c r="C16" s="348"/>
      <c r="D16" s="348"/>
      <c r="E16" s="9"/>
      <c r="F16" s="9"/>
      <c r="G16" s="9"/>
      <c r="H16" s="9"/>
      <c r="J16" s="10" t="s">
        <v>197</v>
      </c>
      <c r="K16" s="350">
        <v>1654.6710198226535</v>
      </c>
      <c r="L16" s="350">
        <v>503.33976072849578</v>
      </c>
      <c r="M16" s="11">
        <v>0.9</v>
      </c>
      <c r="T16" s="9" t="s">
        <v>198</v>
      </c>
      <c r="Y16" s="9" t="s">
        <v>158</v>
      </c>
      <c r="AA16" s="9" t="s">
        <v>199</v>
      </c>
      <c r="AC16" s="9">
        <v>203325</v>
      </c>
      <c r="AD16" s="9" t="s">
        <v>412</v>
      </c>
    </row>
    <row r="17" spans="2:30" x14ac:dyDescent="0.25">
      <c r="B17" s="9"/>
      <c r="C17" s="348"/>
      <c r="D17" s="348"/>
      <c r="E17" s="9"/>
      <c r="F17" s="9"/>
      <c r="G17" s="9"/>
      <c r="H17" s="9"/>
      <c r="J17" s="10" t="s">
        <v>200</v>
      </c>
      <c r="K17" s="350">
        <v>1590.6637476836327</v>
      </c>
      <c r="L17" s="350">
        <v>541.95837030364612</v>
      </c>
      <c r="M17" s="11">
        <v>0.85</v>
      </c>
      <c r="T17" s="9" t="s">
        <v>201</v>
      </c>
      <c r="Y17" s="9" t="s">
        <v>202</v>
      </c>
      <c r="AC17" s="9">
        <v>203330</v>
      </c>
      <c r="AD17" s="9" t="s">
        <v>413</v>
      </c>
    </row>
    <row r="18" spans="2:30" x14ac:dyDescent="0.25">
      <c r="B18" s="9" t="s">
        <v>44</v>
      </c>
      <c r="C18" s="348">
        <v>0.7</v>
      </c>
      <c r="D18" s="348">
        <v>0.65</v>
      </c>
      <c r="E18" s="9" t="s">
        <v>203</v>
      </c>
      <c r="F18" s="9">
        <v>829025</v>
      </c>
      <c r="G18" s="9" t="s">
        <v>32</v>
      </c>
      <c r="H18" s="9" t="s">
        <v>44</v>
      </c>
      <c r="J18" s="10" t="s">
        <v>204</v>
      </c>
      <c r="K18" s="351">
        <v>2133.2805663789318</v>
      </c>
      <c r="L18" s="351">
        <v>445.94919311647766</v>
      </c>
      <c r="M18" s="11">
        <v>0.84</v>
      </c>
      <c r="T18" s="9" t="s">
        <v>205</v>
      </c>
      <c r="Y18" s="9" t="s">
        <v>177</v>
      </c>
      <c r="AC18" s="9">
        <v>203425</v>
      </c>
      <c r="AD18" s="9" t="s">
        <v>414</v>
      </c>
    </row>
    <row r="19" spans="2:30" x14ac:dyDescent="0.25">
      <c r="B19" s="121" t="s">
        <v>779</v>
      </c>
      <c r="C19" s="348">
        <v>67</v>
      </c>
      <c r="D19" s="348">
        <v>63</v>
      </c>
      <c r="E19" s="9" t="s">
        <v>167</v>
      </c>
      <c r="F19" s="121">
        <v>229130</v>
      </c>
      <c r="G19" s="9" t="s">
        <v>32</v>
      </c>
      <c r="H19" s="121" t="s">
        <v>779</v>
      </c>
      <c r="J19" s="10" t="s">
        <v>7</v>
      </c>
      <c r="K19" s="350">
        <v>1506.1554912739043</v>
      </c>
      <c r="L19" s="350">
        <v>329.42162368567841</v>
      </c>
      <c r="M19" s="11">
        <v>0.77</v>
      </c>
      <c r="AC19" s="9">
        <v>203430</v>
      </c>
      <c r="AD19" s="9" t="s">
        <v>415</v>
      </c>
    </row>
    <row r="20" spans="2:30" x14ac:dyDescent="0.25">
      <c r="B20" s="121" t="s">
        <v>780</v>
      </c>
      <c r="C20" s="348">
        <v>65</v>
      </c>
      <c r="D20" s="348">
        <v>61</v>
      </c>
      <c r="E20" s="9" t="s">
        <v>167</v>
      </c>
      <c r="F20" s="121">
        <v>229230</v>
      </c>
      <c r="G20" s="9" t="s">
        <v>32</v>
      </c>
      <c r="H20" s="121" t="s">
        <v>780</v>
      </c>
      <c r="J20" s="10" t="s">
        <v>206</v>
      </c>
      <c r="K20" s="350">
        <v>2308.8152919500835</v>
      </c>
      <c r="L20" s="350">
        <v>122.74113753967957</v>
      </c>
      <c r="M20" s="11">
        <v>0.85</v>
      </c>
      <c r="T20" s="14" t="s">
        <v>207</v>
      </c>
      <c r="Y20" s="14" t="s">
        <v>208</v>
      </c>
      <c r="AC20" s="9">
        <v>203525</v>
      </c>
      <c r="AD20" s="9" t="s">
        <v>416</v>
      </c>
    </row>
    <row r="21" spans="2:30" x14ac:dyDescent="0.25">
      <c r="B21" s="121" t="s">
        <v>781</v>
      </c>
      <c r="C21" s="348">
        <v>43</v>
      </c>
      <c r="D21" s="348">
        <v>41</v>
      </c>
      <c r="E21" s="9" t="s">
        <v>167</v>
      </c>
      <c r="F21" s="121">
        <v>229330</v>
      </c>
      <c r="G21" s="9" t="s">
        <v>32</v>
      </c>
      <c r="H21" s="121" t="s">
        <v>781</v>
      </c>
      <c r="J21" s="10" t="s">
        <v>209</v>
      </c>
      <c r="K21" s="350">
        <v>2340.7809886765726</v>
      </c>
      <c r="L21" s="350">
        <v>481.0791545542636</v>
      </c>
      <c r="M21" s="11">
        <v>0.82</v>
      </c>
      <c r="T21" s="9" t="s">
        <v>210</v>
      </c>
      <c r="Y21" s="9" t="s">
        <v>211</v>
      </c>
      <c r="AC21" s="9">
        <v>203625</v>
      </c>
      <c r="AD21" s="9" t="s">
        <v>417</v>
      </c>
    </row>
    <row r="22" spans="2:30" x14ac:dyDescent="0.25">
      <c r="B22" s="121" t="s">
        <v>782</v>
      </c>
      <c r="C22" s="348">
        <v>42</v>
      </c>
      <c r="D22" s="348">
        <v>39</v>
      </c>
      <c r="E22" s="9" t="s">
        <v>167</v>
      </c>
      <c r="F22" s="121">
        <v>229430</v>
      </c>
      <c r="G22" s="9" t="s">
        <v>32</v>
      </c>
      <c r="H22" s="121" t="s">
        <v>782</v>
      </c>
      <c r="J22" s="10" t="s">
        <v>212</v>
      </c>
      <c r="K22" s="350">
        <v>1640.8270712051362</v>
      </c>
      <c r="L22" s="350">
        <v>658.00073682484617</v>
      </c>
      <c r="M22" s="11">
        <v>0.88</v>
      </c>
      <c r="T22" s="9" t="s">
        <v>213</v>
      </c>
      <c r="Y22" s="9" t="s">
        <v>7</v>
      </c>
      <c r="AC22" s="9">
        <v>203725</v>
      </c>
      <c r="AD22" s="9" t="s">
        <v>418</v>
      </c>
    </row>
    <row r="23" spans="2:30" x14ac:dyDescent="0.25">
      <c r="B23" s="121" t="s">
        <v>783</v>
      </c>
      <c r="C23" s="348">
        <v>47</v>
      </c>
      <c r="D23" s="348">
        <v>44</v>
      </c>
      <c r="E23" s="9" t="s">
        <v>167</v>
      </c>
      <c r="F23" s="121">
        <v>229530</v>
      </c>
      <c r="G23" s="9" t="s">
        <v>32</v>
      </c>
      <c r="H23" s="121" t="s">
        <v>783</v>
      </c>
      <c r="J23" s="10" t="s">
        <v>174</v>
      </c>
      <c r="K23" s="350">
        <v>1545.2570168203831</v>
      </c>
      <c r="L23" s="350">
        <v>480.02004704589683</v>
      </c>
      <c r="M23" s="11">
        <v>0.71</v>
      </c>
      <c r="T23" s="9" t="s">
        <v>214</v>
      </c>
      <c r="Y23" s="9" t="s">
        <v>61</v>
      </c>
      <c r="AC23" s="9">
        <v>203730</v>
      </c>
      <c r="AD23" s="9" t="s">
        <v>419</v>
      </c>
    </row>
    <row r="24" spans="2:30" x14ac:dyDescent="0.25">
      <c r="B24" s="121" t="s">
        <v>784</v>
      </c>
      <c r="C24" s="348">
        <v>43</v>
      </c>
      <c r="D24" s="348">
        <v>41</v>
      </c>
      <c r="E24" s="9" t="s">
        <v>167</v>
      </c>
      <c r="F24" s="121">
        <v>229630</v>
      </c>
      <c r="G24" s="9" t="s">
        <v>32</v>
      </c>
      <c r="H24" s="121" t="s">
        <v>784</v>
      </c>
      <c r="J24" s="10" t="s">
        <v>215</v>
      </c>
      <c r="K24" s="350">
        <v>1647.2297631629247</v>
      </c>
      <c r="L24" s="350">
        <v>591.637182064895</v>
      </c>
      <c r="M24" s="11">
        <v>0.84</v>
      </c>
      <c r="T24" s="9" t="s">
        <v>216</v>
      </c>
      <c r="Y24" s="9" t="s">
        <v>217</v>
      </c>
      <c r="AC24" s="9">
        <v>203825</v>
      </c>
      <c r="AD24" s="9" t="s">
        <v>420</v>
      </c>
    </row>
    <row r="25" spans="2:30" x14ac:dyDescent="0.25">
      <c r="B25" s="121" t="s">
        <v>785</v>
      </c>
      <c r="C25" s="348">
        <v>66</v>
      </c>
      <c r="D25" s="348">
        <v>61</v>
      </c>
      <c r="E25" s="9" t="s">
        <v>167</v>
      </c>
      <c r="F25" s="121">
        <v>229730</v>
      </c>
      <c r="G25" s="9" t="s">
        <v>32</v>
      </c>
      <c r="H25" s="121" t="s">
        <v>785</v>
      </c>
      <c r="J25" s="10" t="s">
        <v>218</v>
      </c>
      <c r="K25" s="350">
        <v>1909.6607686710386</v>
      </c>
      <c r="L25" s="350">
        <v>442.37031009390796</v>
      </c>
      <c r="M25" s="11">
        <v>0.82363636363636372</v>
      </c>
      <c r="Y25" s="9" t="s">
        <v>174</v>
      </c>
      <c r="AC25" s="9">
        <v>203830</v>
      </c>
      <c r="AD25" s="9" t="s">
        <v>421</v>
      </c>
    </row>
    <row r="26" spans="2:30" x14ac:dyDescent="0.25">
      <c r="B26" s="121" t="s">
        <v>788</v>
      </c>
      <c r="C26" s="348">
        <v>56</v>
      </c>
      <c r="D26" s="348">
        <v>53</v>
      </c>
      <c r="E26" s="9" t="s">
        <v>167</v>
      </c>
      <c r="F26" s="121">
        <v>229830</v>
      </c>
      <c r="G26" s="9" t="s">
        <v>32</v>
      </c>
      <c r="H26" s="121" t="s">
        <v>788</v>
      </c>
      <c r="K26" s="285"/>
      <c r="L26" s="285"/>
      <c r="M26" s="285"/>
      <c r="N26" s="285"/>
      <c r="O26" s="285"/>
      <c r="P26" s="285"/>
      <c r="T26" s="14" t="s">
        <v>162</v>
      </c>
      <c r="Y26" s="9" t="s">
        <v>177</v>
      </c>
      <c r="AC26" s="9">
        <v>203925</v>
      </c>
      <c r="AD26" s="9" t="s">
        <v>422</v>
      </c>
    </row>
    <row r="27" spans="2:30" x14ac:dyDescent="0.25">
      <c r="B27" s="121" t="s">
        <v>786</v>
      </c>
      <c r="C27" s="348">
        <v>53</v>
      </c>
      <c r="D27" s="348">
        <v>50</v>
      </c>
      <c r="E27" s="9" t="s">
        <v>167</v>
      </c>
      <c r="F27" s="121">
        <v>229930</v>
      </c>
      <c r="G27" s="9" t="s">
        <v>32</v>
      </c>
      <c r="H27" s="121" t="s">
        <v>786</v>
      </c>
      <c r="J27" s="288"/>
      <c r="K27" s="289"/>
      <c r="L27" s="289"/>
      <c r="M27" s="289"/>
      <c r="N27" s="289"/>
      <c r="O27" s="289"/>
      <c r="P27" s="289"/>
      <c r="T27" s="9" t="s">
        <v>219</v>
      </c>
      <c r="AC27" s="9">
        <v>203930</v>
      </c>
      <c r="AD27" s="9" t="s">
        <v>423</v>
      </c>
    </row>
    <row r="28" spans="2:30" x14ac:dyDescent="0.25">
      <c r="B28" s="9" t="s">
        <v>40</v>
      </c>
      <c r="C28" s="348">
        <v>57</v>
      </c>
      <c r="D28" s="348">
        <v>53</v>
      </c>
      <c r="E28" s="9" t="s">
        <v>220</v>
      </c>
      <c r="F28" s="9">
        <v>220125</v>
      </c>
      <c r="G28" s="9" t="s">
        <v>32</v>
      </c>
      <c r="H28" s="9" t="s">
        <v>40</v>
      </c>
      <c r="T28" s="9" t="s">
        <v>221</v>
      </c>
      <c r="AC28" s="9">
        <v>204025</v>
      </c>
      <c r="AD28" s="9" t="s">
        <v>424</v>
      </c>
    </row>
    <row r="29" spans="2:30" x14ac:dyDescent="0.25">
      <c r="B29" s="9" t="s">
        <v>47</v>
      </c>
      <c r="C29" s="348">
        <v>133</v>
      </c>
      <c r="D29" s="348">
        <v>125</v>
      </c>
      <c r="E29" s="9" t="s">
        <v>220</v>
      </c>
      <c r="F29" s="9">
        <v>420125</v>
      </c>
      <c r="G29" s="9" t="s">
        <v>222</v>
      </c>
      <c r="H29" s="9" t="s">
        <v>47</v>
      </c>
      <c r="J29" s="18"/>
      <c r="K29" s="16"/>
      <c r="L29" s="16"/>
      <c r="M29" s="14"/>
      <c r="N29" s="16"/>
      <c r="O29" s="16"/>
      <c r="P29" s="14"/>
      <c r="AC29" s="9">
        <v>204030</v>
      </c>
      <c r="AD29" s="9" t="s">
        <v>425</v>
      </c>
    </row>
    <row r="30" spans="2:30" x14ac:dyDescent="0.25">
      <c r="B30" s="9" t="s">
        <v>48</v>
      </c>
      <c r="C30" s="348">
        <v>65</v>
      </c>
      <c r="D30" s="348">
        <v>60</v>
      </c>
      <c r="E30" s="9" t="s">
        <v>220</v>
      </c>
      <c r="F30" s="9">
        <v>420225</v>
      </c>
      <c r="G30" s="9" t="s">
        <v>222</v>
      </c>
      <c r="H30" s="9" t="s">
        <v>48</v>
      </c>
      <c r="J30" s="18"/>
      <c r="K30" s="16"/>
      <c r="L30" s="16"/>
      <c r="M30" s="28"/>
      <c r="N30" s="16"/>
      <c r="O30" s="16"/>
      <c r="P30" s="28"/>
      <c r="T30" s="14" t="s">
        <v>223</v>
      </c>
      <c r="AC30" s="9">
        <v>204125</v>
      </c>
      <c r="AD30" s="9" t="s">
        <v>426</v>
      </c>
    </row>
    <row r="31" spans="2:30" x14ac:dyDescent="0.25">
      <c r="B31" s="9" t="s">
        <v>49</v>
      </c>
      <c r="C31" s="348">
        <v>40</v>
      </c>
      <c r="D31" s="348">
        <v>35</v>
      </c>
      <c r="E31" s="9" t="s">
        <v>224</v>
      </c>
      <c r="F31" s="9">
        <v>420325</v>
      </c>
      <c r="G31" s="9" t="s">
        <v>222</v>
      </c>
      <c r="H31" s="9" t="s">
        <v>49</v>
      </c>
      <c r="T31" s="9" t="s">
        <v>225</v>
      </c>
      <c r="AC31" s="9">
        <v>204130</v>
      </c>
      <c r="AD31" s="9" t="s">
        <v>427</v>
      </c>
    </row>
    <row r="32" spans="2:30" x14ac:dyDescent="0.25">
      <c r="B32" s="9" t="s">
        <v>50</v>
      </c>
      <c r="C32" s="348">
        <v>20</v>
      </c>
      <c r="D32" s="348">
        <v>20</v>
      </c>
      <c r="E32" s="9" t="s">
        <v>224</v>
      </c>
      <c r="F32" s="9">
        <v>420425</v>
      </c>
      <c r="G32" s="9" t="s">
        <v>222</v>
      </c>
      <c r="H32" s="9" t="s">
        <v>50</v>
      </c>
      <c r="K32" s="285" t="s">
        <v>773</v>
      </c>
      <c r="L32" s="285"/>
      <c r="M32" s="285" t="s">
        <v>140</v>
      </c>
      <c r="N32" s="285"/>
      <c r="O32" s="285" t="s">
        <v>578</v>
      </c>
      <c r="P32" s="285"/>
      <c r="T32" s="9" t="s">
        <v>226</v>
      </c>
      <c r="AC32" s="9">
        <v>217130</v>
      </c>
      <c r="AD32" s="9" t="s">
        <v>428</v>
      </c>
    </row>
    <row r="33" spans="2:30" x14ac:dyDescent="0.25">
      <c r="B33" s="9" t="s">
        <v>51</v>
      </c>
      <c r="C33" s="348">
        <v>65</v>
      </c>
      <c r="D33" s="348">
        <v>60</v>
      </c>
      <c r="E33" s="9" t="s">
        <v>227</v>
      </c>
      <c r="F33" s="9">
        <v>420525</v>
      </c>
      <c r="G33" s="9" t="s">
        <v>222</v>
      </c>
      <c r="H33" s="9" t="s">
        <v>51</v>
      </c>
      <c r="J33" s="185" t="s">
        <v>25</v>
      </c>
      <c r="K33" s="185" t="s">
        <v>230</v>
      </c>
      <c r="L33" s="185" t="s">
        <v>231</v>
      </c>
      <c r="M33" s="185" t="s">
        <v>230</v>
      </c>
      <c r="N33" s="185" t="s">
        <v>231</v>
      </c>
      <c r="O33" s="185" t="s">
        <v>579</v>
      </c>
      <c r="P33" s="185" t="s">
        <v>580</v>
      </c>
      <c r="T33" s="9" t="s">
        <v>228</v>
      </c>
      <c r="AC33" s="9">
        <v>217230</v>
      </c>
      <c r="AD33" s="9" t="s">
        <v>429</v>
      </c>
    </row>
    <row r="34" spans="2:30" x14ac:dyDescent="0.25">
      <c r="B34" s="9" t="s">
        <v>52</v>
      </c>
      <c r="C34" s="348">
        <v>12</v>
      </c>
      <c r="D34" s="348">
        <v>10</v>
      </c>
      <c r="E34" s="9" t="s">
        <v>229</v>
      </c>
      <c r="F34" s="9">
        <v>420625</v>
      </c>
      <c r="G34" s="9" t="s">
        <v>222</v>
      </c>
      <c r="H34" s="9" t="s">
        <v>52</v>
      </c>
      <c r="J34" s="9" t="s">
        <v>560</v>
      </c>
      <c r="K34" s="165"/>
      <c r="L34" s="165"/>
      <c r="M34" s="165"/>
      <c r="N34" s="165"/>
      <c r="O34" s="165"/>
      <c r="P34" s="290"/>
      <c r="T34" s="9" t="s">
        <v>232</v>
      </c>
      <c r="AC34" s="9">
        <v>217330</v>
      </c>
      <c r="AD34" s="9" t="s">
        <v>430</v>
      </c>
    </row>
    <row r="35" spans="2:30" x14ac:dyDescent="0.25">
      <c r="B35" s="9" t="s">
        <v>753</v>
      </c>
      <c r="C35" s="15">
        <v>418</v>
      </c>
      <c r="D35" s="15">
        <v>392</v>
      </c>
      <c r="E35" s="9" t="s">
        <v>227</v>
      </c>
      <c r="F35" s="9">
        <v>321030</v>
      </c>
      <c r="G35" s="9" t="s">
        <v>233</v>
      </c>
      <c r="H35" s="9" t="s">
        <v>753</v>
      </c>
      <c r="J35" s="345" t="s">
        <v>779</v>
      </c>
      <c r="K35" s="120">
        <v>1.1879999999999999</v>
      </c>
      <c r="L35" s="120">
        <v>0.876</v>
      </c>
      <c r="M35" s="343">
        <v>1.18</v>
      </c>
      <c r="N35" s="120">
        <v>0.76</v>
      </c>
      <c r="O35" s="120">
        <v>0</v>
      </c>
      <c r="P35" s="122">
        <v>149.999</v>
      </c>
      <c r="T35" s="9" t="s">
        <v>234</v>
      </c>
      <c r="AC35" s="9">
        <v>304925</v>
      </c>
      <c r="AD35" s="9" t="s">
        <v>431</v>
      </c>
    </row>
    <row r="36" spans="2:30" x14ac:dyDescent="0.25">
      <c r="B36" s="9" t="s">
        <v>754</v>
      </c>
      <c r="C36" s="15">
        <v>1991</v>
      </c>
      <c r="D36" s="15">
        <v>1866</v>
      </c>
      <c r="E36" s="9" t="s">
        <v>227</v>
      </c>
      <c r="F36" s="9">
        <v>321130</v>
      </c>
      <c r="G36" s="9" t="s">
        <v>233</v>
      </c>
      <c r="H36" s="9" t="s">
        <v>754</v>
      </c>
      <c r="J36" s="345" t="s">
        <v>780</v>
      </c>
      <c r="K36" s="120">
        <v>1.1879999999999999</v>
      </c>
      <c r="L36" s="120">
        <v>0.85699999999999998</v>
      </c>
      <c r="M36" s="343">
        <v>1.18</v>
      </c>
      <c r="N36" s="120">
        <v>0.75</v>
      </c>
      <c r="O36" s="122">
        <v>150</v>
      </c>
      <c r="P36" s="120">
        <v>999999</v>
      </c>
      <c r="T36" s="9" t="s">
        <v>235</v>
      </c>
      <c r="AC36" s="9">
        <v>304930</v>
      </c>
      <c r="AD36" s="9" t="s">
        <v>432</v>
      </c>
    </row>
    <row r="37" spans="2:30" x14ac:dyDescent="0.25">
      <c r="B37" s="9" t="s">
        <v>755</v>
      </c>
      <c r="C37" s="15">
        <v>367</v>
      </c>
      <c r="D37" s="15">
        <v>344</v>
      </c>
      <c r="E37" s="9" t="s">
        <v>227</v>
      </c>
      <c r="F37" s="9">
        <v>321230</v>
      </c>
      <c r="G37" s="9" t="s">
        <v>233</v>
      </c>
      <c r="H37" s="9" t="s">
        <v>755</v>
      </c>
      <c r="J37" s="345" t="s">
        <v>781</v>
      </c>
      <c r="K37" s="121">
        <v>0.75</v>
      </c>
      <c r="L37" s="121">
        <v>0.6</v>
      </c>
      <c r="M37" s="340">
        <v>0.74</v>
      </c>
      <c r="N37" s="121">
        <v>0.5</v>
      </c>
      <c r="O37" s="121">
        <v>0</v>
      </c>
      <c r="P37" s="121">
        <v>74.998999999999995</v>
      </c>
      <c r="T37" s="9" t="s">
        <v>205</v>
      </c>
      <c r="AC37" s="9">
        <v>305025</v>
      </c>
      <c r="AD37" s="9" t="s">
        <v>433</v>
      </c>
    </row>
    <row r="38" spans="2:30" x14ac:dyDescent="0.25">
      <c r="B38" s="9" t="s">
        <v>756</v>
      </c>
      <c r="C38" s="15">
        <v>1679</v>
      </c>
      <c r="D38" s="15">
        <v>1574</v>
      </c>
      <c r="E38" s="9" t="s">
        <v>227</v>
      </c>
      <c r="F38" s="9">
        <v>321330</v>
      </c>
      <c r="G38" s="9" t="s">
        <v>233</v>
      </c>
      <c r="H38" s="9" t="s">
        <v>756</v>
      </c>
      <c r="J38" s="345" t="s">
        <v>782</v>
      </c>
      <c r="K38" s="121">
        <v>0.72</v>
      </c>
      <c r="L38" s="121">
        <v>0.56000000000000005</v>
      </c>
      <c r="M38" s="340">
        <v>0.71</v>
      </c>
      <c r="N38" s="121">
        <v>0.49</v>
      </c>
      <c r="O38" s="121">
        <v>75</v>
      </c>
      <c r="P38" s="121">
        <v>149.999</v>
      </c>
      <c r="AC38" s="9">
        <v>305030</v>
      </c>
      <c r="AD38" s="9" t="s">
        <v>434</v>
      </c>
    </row>
    <row r="39" spans="2:30" ht="25.5" x14ac:dyDescent="0.25">
      <c r="B39" s="9" t="s">
        <v>757</v>
      </c>
      <c r="C39" s="15">
        <v>3097</v>
      </c>
      <c r="D39" s="15">
        <v>2903</v>
      </c>
      <c r="E39" s="9" t="s">
        <v>227</v>
      </c>
      <c r="F39" s="9">
        <v>321430</v>
      </c>
      <c r="G39" s="9" t="s">
        <v>233</v>
      </c>
      <c r="H39" s="9" t="s">
        <v>757</v>
      </c>
      <c r="J39" s="345" t="s">
        <v>783</v>
      </c>
      <c r="K39" s="121">
        <v>0.66</v>
      </c>
      <c r="L39" s="121">
        <v>0.54</v>
      </c>
      <c r="M39" s="340">
        <v>0.65</v>
      </c>
      <c r="N39" s="121">
        <v>0.44</v>
      </c>
      <c r="O39" s="121">
        <v>150</v>
      </c>
      <c r="P39" s="121">
        <v>299.99900000000002</v>
      </c>
      <c r="T39" s="14" t="s">
        <v>236</v>
      </c>
      <c r="AC39" s="9">
        <v>305125</v>
      </c>
      <c r="AD39" s="9" t="s">
        <v>435</v>
      </c>
    </row>
    <row r="40" spans="2:30" x14ac:dyDescent="0.25">
      <c r="B40" s="9" t="s">
        <v>761</v>
      </c>
      <c r="C40" s="15">
        <v>91</v>
      </c>
      <c r="D40" s="15">
        <v>85</v>
      </c>
      <c r="E40" s="9" t="s">
        <v>227</v>
      </c>
      <c r="F40" s="9">
        <v>321530</v>
      </c>
      <c r="G40" s="9" t="s">
        <v>233</v>
      </c>
      <c r="H40" s="9" t="s">
        <v>761</v>
      </c>
      <c r="J40" s="345" t="s">
        <v>784</v>
      </c>
      <c r="K40" s="121">
        <v>0.58499999999999996</v>
      </c>
      <c r="L40" s="121">
        <v>0.51</v>
      </c>
      <c r="M40" s="340">
        <v>0.56999999999999995</v>
      </c>
      <c r="N40" s="121">
        <v>0.41</v>
      </c>
      <c r="O40" s="121">
        <v>300</v>
      </c>
      <c r="P40" s="121">
        <v>999999</v>
      </c>
      <c r="T40" s="9" t="s">
        <v>237</v>
      </c>
      <c r="AC40" s="9">
        <v>305130</v>
      </c>
      <c r="AD40" s="9" t="s">
        <v>436</v>
      </c>
    </row>
    <row r="41" spans="2:30" x14ac:dyDescent="0.25">
      <c r="B41" s="9" t="s">
        <v>758</v>
      </c>
      <c r="C41" s="15">
        <v>309</v>
      </c>
      <c r="D41" s="15">
        <v>290</v>
      </c>
      <c r="E41" s="9" t="s">
        <v>227</v>
      </c>
      <c r="F41" s="9">
        <v>321630</v>
      </c>
      <c r="G41" s="9" t="s">
        <v>233</v>
      </c>
      <c r="H41" s="9" t="s">
        <v>758</v>
      </c>
      <c r="J41" s="345" t="s">
        <v>785</v>
      </c>
      <c r="K41" s="121">
        <v>0.61</v>
      </c>
      <c r="L41" s="121">
        <v>0.55000000000000004</v>
      </c>
      <c r="M41" s="340">
        <v>0.6</v>
      </c>
      <c r="N41" s="121">
        <v>0.4</v>
      </c>
      <c r="O41" s="121">
        <v>0</v>
      </c>
      <c r="P41" s="121">
        <v>299.99900000000002</v>
      </c>
      <c r="T41" s="9" t="s">
        <v>238</v>
      </c>
      <c r="AC41" s="9">
        <v>305225</v>
      </c>
      <c r="AD41" s="9" t="s">
        <v>437</v>
      </c>
    </row>
    <row r="42" spans="2:30" x14ac:dyDescent="0.25">
      <c r="B42" s="9" t="s">
        <v>759</v>
      </c>
      <c r="C42" s="15">
        <v>1840</v>
      </c>
      <c r="D42" s="15">
        <v>1725</v>
      </c>
      <c r="E42" s="9" t="s">
        <v>227</v>
      </c>
      <c r="F42" s="9">
        <v>321730</v>
      </c>
      <c r="G42" s="9" t="s">
        <v>233</v>
      </c>
      <c r="H42" s="9" t="s">
        <v>759</v>
      </c>
      <c r="J42" s="345" t="s">
        <v>788</v>
      </c>
      <c r="K42" s="121">
        <v>0.56000000000000005</v>
      </c>
      <c r="L42" s="121">
        <v>0.51</v>
      </c>
      <c r="M42" s="340">
        <v>0.55000000000000004</v>
      </c>
      <c r="N42" s="121">
        <v>0.39</v>
      </c>
      <c r="O42" s="121">
        <v>300</v>
      </c>
      <c r="P42" s="121">
        <v>599.99900000000002</v>
      </c>
      <c r="T42" s="9" t="s">
        <v>239</v>
      </c>
      <c r="AC42" s="9">
        <v>305230</v>
      </c>
      <c r="AD42" s="9" t="s">
        <v>438</v>
      </c>
    </row>
    <row r="43" spans="2:30" x14ac:dyDescent="0.25">
      <c r="B43" s="9" t="s">
        <v>760</v>
      </c>
      <c r="C43" s="15">
        <v>2967</v>
      </c>
      <c r="D43" s="15">
        <v>2781</v>
      </c>
      <c r="E43" s="9" t="s">
        <v>227</v>
      </c>
      <c r="F43" s="9">
        <v>321830</v>
      </c>
      <c r="G43" s="9" t="s">
        <v>233</v>
      </c>
      <c r="H43" s="9" t="s">
        <v>760</v>
      </c>
      <c r="J43" s="346" t="s">
        <v>786</v>
      </c>
      <c r="K43" s="121">
        <v>0.56000000000000005</v>
      </c>
      <c r="L43" s="121">
        <v>0.5</v>
      </c>
      <c r="M43" s="340">
        <v>0.55000000000000004</v>
      </c>
      <c r="N43" s="121">
        <v>0.38</v>
      </c>
      <c r="O43" s="121">
        <v>600</v>
      </c>
      <c r="P43" s="121">
        <v>999999</v>
      </c>
      <c r="AC43" s="9">
        <v>305325</v>
      </c>
      <c r="AD43" s="9" t="s">
        <v>439</v>
      </c>
    </row>
    <row r="44" spans="2:30" x14ac:dyDescent="0.25">
      <c r="B44" s="9" t="s">
        <v>770</v>
      </c>
      <c r="C44" s="15">
        <v>3400</v>
      </c>
      <c r="D44" s="15">
        <v>3188</v>
      </c>
      <c r="E44" s="9" t="s">
        <v>227</v>
      </c>
      <c r="F44" s="9">
        <v>321930</v>
      </c>
      <c r="G44" s="9" t="s">
        <v>233</v>
      </c>
      <c r="H44" s="9" t="s">
        <v>770</v>
      </c>
      <c r="AC44" s="9">
        <v>305330</v>
      </c>
      <c r="AD44" s="9" t="s">
        <v>440</v>
      </c>
    </row>
    <row r="45" spans="2:30" x14ac:dyDescent="0.25">
      <c r="B45" s="9" t="s">
        <v>58</v>
      </c>
      <c r="C45" s="15">
        <v>13</v>
      </c>
      <c r="D45" s="15">
        <v>12</v>
      </c>
      <c r="E45" s="9" t="s">
        <v>240</v>
      </c>
      <c r="F45" s="9">
        <v>525025</v>
      </c>
      <c r="G45" s="9" t="s">
        <v>241</v>
      </c>
      <c r="H45" s="9" t="s">
        <v>58</v>
      </c>
      <c r="AC45" s="9"/>
      <c r="AD45" s="9"/>
    </row>
    <row r="46" spans="2:30" x14ac:dyDescent="0.25">
      <c r="B46" s="9" t="s">
        <v>62</v>
      </c>
      <c r="C46" s="15">
        <v>52</v>
      </c>
      <c r="D46" s="15">
        <v>49</v>
      </c>
      <c r="E46" s="9" t="s">
        <v>242</v>
      </c>
      <c r="F46" s="9">
        <v>525325</v>
      </c>
      <c r="G46" s="9" t="s">
        <v>241</v>
      </c>
      <c r="H46" s="9" t="s">
        <v>62</v>
      </c>
      <c r="AC46" s="9">
        <v>407025</v>
      </c>
      <c r="AD46" s="9" t="s">
        <v>441</v>
      </c>
    </row>
    <row r="47" spans="2:30" x14ac:dyDescent="0.25">
      <c r="B47" s="9" t="s">
        <v>60</v>
      </c>
      <c r="C47" s="15">
        <v>5</v>
      </c>
      <c r="D47" s="15">
        <v>4</v>
      </c>
      <c r="E47" s="9" t="s">
        <v>243</v>
      </c>
      <c r="F47" s="9">
        <v>525225</v>
      </c>
      <c r="G47" s="9" t="s">
        <v>241</v>
      </c>
      <c r="H47" s="9" t="s">
        <v>60</v>
      </c>
      <c r="J47" s="185" t="s">
        <v>145</v>
      </c>
      <c r="AC47" s="9">
        <v>407025</v>
      </c>
      <c r="AD47" s="9" t="s">
        <v>441</v>
      </c>
    </row>
    <row r="48" spans="2:30" x14ac:dyDescent="0.25">
      <c r="B48" s="9"/>
      <c r="C48" s="15"/>
      <c r="D48" s="15"/>
      <c r="E48" s="9"/>
      <c r="F48" s="9"/>
      <c r="G48" s="9"/>
      <c r="H48" s="9"/>
      <c r="J48" s="12" t="s">
        <v>371</v>
      </c>
      <c r="AC48" s="9">
        <v>407125</v>
      </c>
      <c r="AD48" s="9" t="s">
        <v>442</v>
      </c>
    </row>
    <row r="49" spans="2:30" x14ac:dyDescent="0.25">
      <c r="B49" s="9"/>
      <c r="C49" s="15"/>
      <c r="D49" s="15"/>
      <c r="E49" s="9"/>
      <c r="F49" s="9"/>
      <c r="G49" s="9"/>
      <c r="H49" s="9"/>
      <c r="J49" s="123" t="s">
        <v>778</v>
      </c>
      <c r="AC49" s="9">
        <v>407130</v>
      </c>
      <c r="AD49" s="9" t="s">
        <v>443</v>
      </c>
    </row>
    <row r="50" spans="2:30" x14ac:dyDescent="0.25">
      <c r="B50" s="9" t="s">
        <v>65</v>
      </c>
      <c r="C50" s="15">
        <v>16</v>
      </c>
      <c r="D50" s="15">
        <v>15</v>
      </c>
      <c r="E50" s="9" t="s">
        <v>244</v>
      </c>
      <c r="F50" s="9">
        <v>525625</v>
      </c>
      <c r="G50" s="9" t="s">
        <v>64</v>
      </c>
      <c r="H50" s="9" t="s">
        <v>65</v>
      </c>
      <c r="J50" s="123" t="s">
        <v>33</v>
      </c>
      <c r="AC50" s="9">
        <v>407225</v>
      </c>
      <c r="AD50" s="9" t="s">
        <v>444</v>
      </c>
    </row>
    <row r="51" spans="2:30" x14ac:dyDescent="0.25">
      <c r="B51" s="9" t="s">
        <v>66</v>
      </c>
      <c r="C51" s="15">
        <v>32</v>
      </c>
      <c r="D51" s="15">
        <v>30</v>
      </c>
      <c r="E51" s="9" t="s">
        <v>245</v>
      </c>
      <c r="F51" s="9">
        <v>935730</v>
      </c>
      <c r="G51" s="9" t="s">
        <v>64</v>
      </c>
      <c r="H51" s="9" t="s">
        <v>66</v>
      </c>
      <c r="J51" s="123" t="s">
        <v>34</v>
      </c>
      <c r="AC51" s="9">
        <v>407230</v>
      </c>
      <c r="AD51" s="9" t="s">
        <v>445</v>
      </c>
    </row>
    <row r="52" spans="2:30" x14ac:dyDescent="0.25">
      <c r="J52" s="123" t="s">
        <v>774</v>
      </c>
      <c r="AC52" s="9">
        <v>407425</v>
      </c>
      <c r="AD52" s="9" t="s">
        <v>446</v>
      </c>
    </row>
    <row r="53" spans="2:30" x14ac:dyDescent="0.25">
      <c r="B53" s="185" t="s">
        <v>11</v>
      </c>
      <c r="AC53" s="9">
        <v>407430</v>
      </c>
      <c r="AD53" s="9" t="s">
        <v>447</v>
      </c>
    </row>
    <row r="54" spans="2:30" x14ac:dyDescent="0.25">
      <c r="B54" s="9" t="s">
        <v>384</v>
      </c>
      <c r="J54" s="185" t="s">
        <v>145</v>
      </c>
      <c r="AC54" s="9">
        <v>407525</v>
      </c>
      <c r="AD54" s="9" t="s">
        <v>448</v>
      </c>
    </row>
    <row r="55" spans="2:30" x14ac:dyDescent="0.25">
      <c r="B55" s="9" t="s">
        <v>12</v>
      </c>
      <c r="J55" s="12" t="s">
        <v>372</v>
      </c>
      <c r="AC55" s="9">
        <v>407530</v>
      </c>
      <c r="AD55" s="9" t="s">
        <v>449</v>
      </c>
    </row>
    <row r="56" spans="2:30" x14ac:dyDescent="0.25">
      <c r="J56" s="123" t="s">
        <v>787</v>
      </c>
      <c r="AC56" s="9">
        <v>407625</v>
      </c>
      <c r="AD56" s="9" t="s">
        <v>450</v>
      </c>
    </row>
    <row r="57" spans="2:30" x14ac:dyDescent="0.25">
      <c r="B57" s="185" t="s">
        <v>385</v>
      </c>
      <c r="J57" s="123" t="s">
        <v>775</v>
      </c>
      <c r="AC57" s="9">
        <v>407630</v>
      </c>
      <c r="AD57" s="9" t="s">
        <v>451</v>
      </c>
    </row>
    <row r="58" spans="2:30" x14ac:dyDescent="0.25">
      <c r="B58" s="9" t="s">
        <v>386</v>
      </c>
      <c r="J58" s="123" t="s">
        <v>776</v>
      </c>
      <c r="AC58" s="9">
        <v>424830</v>
      </c>
      <c r="AD58" s="9" t="s">
        <v>452</v>
      </c>
    </row>
    <row r="59" spans="2:30" x14ac:dyDescent="0.25">
      <c r="B59" s="9" t="s">
        <v>9</v>
      </c>
      <c r="J59" s="123" t="s">
        <v>777</v>
      </c>
      <c r="AC59" s="9">
        <v>424830</v>
      </c>
      <c r="AD59" s="9" t="s">
        <v>452</v>
      </c>
    </row>
    <row r="60" spans="2:30" x14ac:dyDescent="0.25">
      <c r="B60" s="9" t="s">
        <v>387</v>
      </c>
      <c r="AC60" s="9">
        <v>424930</v>
      </c>
      <c r="AD60" s="9" t="s">
        <v>453</v>
      </c>
    </row>
    <row r="61" spans="2:30" x14ac:dyDescent="0.25">
      <c r="B61" s="9" t="s">
        <v>388</v>
      </c>
      <c r="J61" s="185" t="s">
        <v>145</v>
      </c>
      <c r="AC61" s="9">
        <v>424930</v>
      </c>
      <c r="AD61" s="9" t="s">
        <v>453</v>
      </c>
    </row>
    <row r="62" spans="2:30" x14ac:dyDescent="0.25">
      <c r="B62" s="9" t="s">
        <v>389</v>
      </c>
      <c r="J62" s="106" t="s">
        <v>561</v>
      </c>
      <c r="AC62" s="9">
        <v>425030</v>
      </c>
      <c r="AD62" s="9" t="s">
        <v>454</v>
      </c>
    </row>
    <row r="63" spans="2:30" x14ac:dyDescent="0.25">
      <c r="B63" s="9" t="s">
        <v>390</v>
      </c>
      <c r="J63" s="9" t="s">
        <v>40</v>
      </c>
      <c r="AC63" s="9">
        <v>425030</v>
      </c>
      <c r="AD63" s="9" t="s">
        <v>454</v>
      </c>
    </row>
    <row r="64" spans="2:30" x14ac:dyDescent="0.25">
      <c r="B64" s="9" t="s">
        <v>391</v>
      </c>
      <c r="J64" s="9" t="s">
        <v>47</v>
      </c>
      <c r="AC64" s="9">
        <v>425130</v>
      </c>
      <c r="AD64" s="9" t="s">
        <v>455</v>
      </c>
    </row>
    <row r="65" spans="2:30" x14ac:dyDescent="0.25">
      <c r="AC65" s="9">
        <v>425130</v>
      </c>
      <c r="AD65" s="9" t="s">
        <v>455</v>
      </c>
    </row>
    <row r="66" spans="2:30" x14ac:dyDescent="0.25">
      <c r="B66" s="282" t="s">
        <v>572</v>
      </c>
      <c r="J66" s="185" t="s">
        <v>695</v>
      </c>
      <c r="AC66" s="9"/>
      <c r="AD66" s="9"/>
    </row>
    <row r="67" spans="2:30" x14ac:dyDescent="0.25">
      <c r="B67" s="113" t="s">
        <v>523</v>
      </c>
      <c r="C67" s="113" t="s">
        <v>524</v>
      </c>
      <c r="D67" s="113" t="s">
        <v>510</v>
      </c>
      <c r="E67" s="113" t="s">
        <v>512</v>
      </c>
      <c r="F67" s="113" t="s">
        <v>522</v>
      </c>
      <c r="G67" s="113" t="s">
        <v>515</v>
      </c>
      <c r="H67" s="113" t="s">
        <v>517</v>
      </c>
      <c r="I67" s="113" t="s">
        <v>237</v>
      </c>
      <c r="J67" t="s">
        <v>566</v>
      </c>
      <c r="AC67" s="9"/>
      <c r="AD67" s="9"/>
    </row>
    <row r="68" spans="2:30" x14ac:dyDescent="0.25">
      <c r="B68" s="113" t="s">
        <v>530</v>
      </c>
      <c r="C68" s="113" t="s">
        <v>531</v>
      </c>
      <c r="D68" s="113" t="s">
        <v>525</v>
      </c>
      <c r="E68" s="113" t="s">
        <v>526</v>
      </c>
      <c r="F68" s="113" t="s">
        <v>527</v>
      </c>
      <c r="G68" s="114" t="s">
        <v>528</v>
      </c>
      <c r="H68" s="114" t="s">
        <v>529</v>
      </c>
      <c r="I68" s="113" t="s">
        <v>238</v>
      </c>
      <c r="J68" s="115" t="s">
        <v>41</v>
      </c>
      <c r="AC68" s="9">
        <v>505425</v>
      </c>
      <c r="AD68" s="9" t="s">
        <v>456</v>
      </c>
    </row>
    <row r="69" spans="2:30" ht="26.25" x14ac:dyDescent="0.25">
      <c r="B69" s="113" t="s">
        <v>576</v>
      </c>
      <c r="C69" s="113" t="s">
        <v>516</v>
      </c>
      <c r="D69" s="113" t="s">
        <v>532</v>
      </c>
      <c r="E69" s="113" t="s">
        <v>533</v>
      </c>
      <c r="F69" s="114" t="s">
        <v>534</v>
      </c>
      <c r="G69" s="114" t="s">
        <v>535</v>
      </c>
      <c r="H69" s="114" t="s">
        <v>536</v>
      </c>
      <c r="AC69" s="9">
        <v>505430</v>
      </c>
      <c r="AD69" s="9" t="s">
        <v>457</v>
      </c>
    </row>
    <row r="70" spans="2:30" x14ac:dyDescent="0.25">
      <c r="B70" s="113" t="s">
        <v>541</v>
      </c>
      <c r="D70" s="113" t="s">
        <v>537</v>
      </c>
      <c r="E70" s="113" t="s">
        <v>538</v>
      </c>
      <c r="F70" s="114" t="s">
        <v>539</v>
      </c>
      <c r="G70" s="114" t="s">
        <v>540</v>
      </c>
      <c r="H70" s="1"/>
      <c r="AC70" s="9">
        <v>505525</v>
      </c>
      <c r="AD70" s="9" t="s">
        <v>458</v>
      </c>
    </row>
    <row r="71" spans="2:30" x14ac:dyDescent="0.25">
      <c r="B71" s="113" t="s">
        <v>516</v>
      </c>
      <c r="C71" s="105"/>
      <c r="D71" s="1"/>
      <c r="E71" s="113" t="s">
        <v>542</v>
      </c>
      <c r="F71" s="114" t="s">
        <v>393</v>
      </c>
      <c r="G71" s="114" t="s">
        <v>543</v>
      </c>
      <c r="H71" s="1"/>
      <c r="J71" s="185" t="s">
        <v>145</v>
      </c>
      <c r="AC71" s="9">
        <v>505530</v>
      </c>
      <c r="AD71" s="9" t="s">
        <v>459</v>
      </c>
    </row>
    <row r="72" spans="2:30" x14ac:dyDescent="0.25">
      <c r="B72" s="113" t="s">
        <v>546</v>
      </c>
      <c r="C72" s="105"/>
      <c r="D72" s="1"/>
      <c r="E72" s="113" t="s">
        <v>544</v>
      </c>
      <c r="F72" s="114" t="s">
        <v>391</v>
      </c>
      <c r="G72" s="114" t="s">
        <v>545</v>
      </c>
      <c r="H72" s="1"/>
      <c r="J72" t="s">
        <v>565</v>
      </c>
      <c r="AC72" s="9">
        <v>606225</v>
      </c>
      <c r="AD72" s="9" t="s">
        <v>460</v>
      </c>
    </row>
    <row r="73" spans="2:30" x14ac:dyDescent="0.25">
      <c r="B73" s="113" t="s">
        <v>549</v>
      </c>
      <c r="C73" s="105"/>
      <c r="D73" s="1"/>
      <c r="E73" s="114" t="s">
        <v>547</v>
      </c>
      <c r="F73" s="114" t="s">
        <v>548</v>
      </c>
      <c r="G73" s="114" t="s">
        <v>177</v>
      </c>
      <c r="H73" s="1"/>
      <c r="J73" t="s">
        <v>44</v>
      </c>
      <c r="AC73" s="9">
        <v>606230</v>
      </c>
      <c r="AD73" s="9" t="s">
        <v>461</v>
      </c>
    </row>
    <row r="74" spans="2:30" x14ac:dyDescent="0.25">
      <c r="B74" s="113" t="s">
        <v>551</v>
      </c>
      <c r="C74" s="105"/>
      <c r="D74" s="1"/>
      <c r="E74" s="114" t="s">
        <v>550</v>
      </c>
      <c r="F74" s="1"/>
      <c r="G74" s="114" t="s">
        <v>548</v>
      </c>
      <c r="H74" s="1"/>
      <c r="AC74" s="9">
        <v>606325</v>
      </c>
      <c r="AD74" s="9" t="s">
        <v>462</v>
      </c>
    </row>
    <row r="75" spans="2:30" x14ac:dyDescent="0.25">
      <c r="C75" s="105"/>
      <c r="D75" s="1"/>
      <c r="E75" s="114" t="s">
        <v>7</v>
      </c>
      <c r="F75" s="1"/>
      <c r="G75" s="1"/>
      <c r="H75" s="1"/>
      <c r="AC75" s="9">
        <v>606330</v>
      </c>
      <c r="AD75" s="9" t="s">
        <v>463</v>
      </c>
    </row>
    <row r="76" spans="2:30" x14ac:dyDescent="0.25">
      <c r="B76" s="116" t="s">
        <v>506</v>
      </c>
      <c r="C76" s="1"/>
      <c r="D76" s="1"/>
      <c r="E76" s="113" t="s">
        <v>552</v>
      </c>
      <c r="F76" s="1"/>
      <c r="G76" s="1"/>
      <c r="H76" s="1"/>
      <c r="AC76" s="9">
        <v>606415</v>
      </c>
      <c r="AD76" s="9" t="s">
        <v>464</v>
      </c>
    </row>
    <row r="77" spans="2:30" x14ac:dyDescent="0.25">
      <c r="B77" s="116" t="s">
        <v>513</v>
      </c>
      <c r="C77" s="1"/>
      <c r="D77" s="1"/>
      <c r="E77" s="114" t="s">
        <v>212</v>
      </c>
      <c r="F77" s="1"/>
      <c r="G77" s="1"/>
      <c r="H77" s="1"/>
      <c r="AC77" s="9">
        <v>606525</v>
      </c>
      <c r="AD77" s="9" t="s">
        <v>465</v>
      </c>
    </row>
    <row r="78" spans="2:30" x14ac:dyDescent="0.25">
      <c r="B78" s="116" t="s">
        <v>508</v>
      </c>
      <c r="C78" s="1"/>
      <c r="D78" s="1"/>
      <c r="E78" s="114" t="s">
        <v>202</v>
      </c>
      <c r="F78" s="1"/>
      <c r="G78" s="1"/>
      <c r="H78" s="1"/>
      <c r="AC78" s="9">
        <v>606730</v>
      </c>
      <c r="AD78" s="9" t="s">
        <v>466</v>
      </c>
    </row>
    <row r="79" spans="2:30" x14ac:dyDescent="0.25">
      <c r="B79" s="116" t="s">
        <v>587</v>
      </c>
      <c r="C79" s="1"/>
      <c r="D79" s="1"/>
      <c r="E79" s="114" t="s">
        <v>553</v>
      </c>
      <c r="F79" s="1"/>
      <c r="G79" s="1"/>
      <c r="H79" s="1"/>
      <c r="AC79" s="9">
        <v>606825</v>
      </c>
      <c r="AD79" s="9" t="s">
        <v>467</v>
      </c>
    </row>
    <row r="80" spans="2:30" x14ac:dyDescent="0.25">
      <c r="B80" s="116" t="s">
        <v>507</v>
      </c>
      <c r="C80" s="1"/>
      <c r="D80" s="1"/>
      <c r="E80" s="114" t="s">
        <v>554</v>
      </c>
      <c r="F80" s="1"/>
      <c r="G80" s="1"/>
      <c r="H80" s="1"/>
      <c r="AC80" s="9">
        <v>606830</v>
      </c>
      <c r="AD80" s="9" t="s">
        <v>468</v>
      </c>
    </row>
    <row r="81" spans="2:30" ht="26.25" x14ac:dyDescent="0.25">
      <c r="B81" s="116" t="s">
        <v>509</v>
      </c>
      <c r="C81" s="1"/>
      <c r="D81" s="1"/>
      <c r="E81" s="114" t="s">
        <v>555</v>
      </c>
      <c r="F81" s="1"/>
      <c r="G81" s="1"/>
      <c r="H81" s="1"/>
      <c r="AC81" s="9">
        <v>606930</v>
      </c>
      <c r="AD81" s="9" t="s">
        <v>469</v>
      </c>
    </row>
    <row r="82" spans="2:30" ht="26.25" x14ac:dyDescent="0.25">
      <c r="B82" s="116" t="s">
        <v>588</v>
      </c>
      <c r="C82" s="1"/>
      <c r="D82" s="1"/>
      <c r="E82" s="114" t="s">
        <v>556</v>
      </c>
      <c r="F82" s="1"/>
      <c r="G82" s="1"/>
      <c r="H82" s="1"/>
      <c r="AC82" s="9"/>
      <c r="AD82" s="9"/>
    </row>
    <row r="83" spans="2:30" ht="26.25" x14ac:dyDescent="0.25">
      <c r="B83" s="116" t="s">
        <v>511</v>
      </c>
      <c r="C83" s="1"/>
      <c r="D83" s="1"/>
      <c r="E83" s="114" t="s">
        <v>557</v>
      </c>
      <c r="F83" s="1"/>
      <c r="G83" s="1"/>
      <c r="H83" s="1"/>
      <c r="AC83" s="9">
        <v>705625</v>
      </c>
      <c r="AD83" s="9" t="s">
        <v>470</v>
      </c>
    </row>
    <row r="84" spans="2:30" x14ac:dyDescent="0.25">
      <c r="B84" s="116" t="s">
        <v>514</v>
      </c>
      <c r="C84" s="1"/>
      <c r="D84" s="1"/>
      <c r="E84" s="113" t="s">
        <v>558</v>
      </c>
      <c r="F84" s="1"/>
      <c r="G84" s="1"/>
      <c r="H84" s="1"/>
      <c r="AC84" s="9">
        <v>705630</v>
      </c>
      <c r="AD84" s="9" t="s">
        <v>471</v>
      </c>
    </row>
    <row r="85" spans="2:30" x14ac:dyDescent="0.25">
      <c r="B85" s="116" t="s">
        <v>516</v>
      </c>
      <c r="C85" s="1"/>
      <c r="D85" s="1"/>
      <c r="E85" s="114" t="s">
        <v>559</v>
      </c>
      <c r="F85" s="1"/>
      <c r="G85" s="1"/>
      <c r="H85" s="1"/>
      <c r="AC85" s="9">
        <v>705725</v>
      </c>
      <c r="AD85" s="9" t="s">
        <v>472</v>
      </c>
    </row>
    <row r="86" spans="2:30" x14ac:dyDescent="0.25">
      <c r="AC86" s="9">
        <v>705730</v>
      </c>
      <c r="AD86" s="9" t="s">
        <v>473</v>
      </c>
    </row>
    <row r="87" spans="2:30" x14ac:dyDescent="0.25">
      <c r="AC87" s="9">
        <v>705825</v>
      </c>
      <c r="AD87" s="9" t="s">
        <v>474</v>
      </c>
    </row>
    <row r="88" spans="2:30" x14ac:dyDescent="0.25">
      <c r="AC88" s="9">
        <v>705825</v>
      </c>
      <c r="AD88" s="9" t="s">
        <v>474</v>
      </c>
    </row>
    <row r="89" spans="2:30" x14ac:dyDescent="0.25">
      <c r="AC89" s="9">
        <v>705830</v>
      </c>
      <c r="AD89" s="9" t="s">
        <v>475</v>
      </c>
    </row>
    <row r="90" spans="2:30" x14ac:dyDescent="0.25">
      <c r="AC90" s="9">
        <v>706125</v>
      </c>
      <c r="AD90" s="9" t="s">
        <v>476</v>
      </c>
    </row>
    <row r="91" spans="2:30" x14ac:dyDescent="0.25">
      <c r="AC91" s="9">
        <v>706130</v>
      </c>
      <c r="AD91" s="9" t="s">
        <v>477</v>
      </c>
    </row>
    <row r="92" spans="2:30" x14ac:dyDescent="0.25">
      <c r="AC92" s="9">
        <v>804225</v>
      </c>
      <c r="AD92" s="9" t="s">
        <v>478</v>
      </c>
    </row>
    <row r="93" spans="2:30" x14ac:dyDescent="0.25">
      <c r="AC93" s="9">
        <v>804230</v>
      </c>
      <c r="AD93" s="9" t="s">
        <v>479</v>
      </c>
    </row>
    <row r="94" spans="2:30" x14ac:dyDescent="0.25">
      <c r="AC94" s="9">
        <v>804325</v>
      </c>
      <c r="AD94" s="9" t="s">
        <v>480</v>
      </c>
    </row>
    <row r="95" spans="2:30" x14ac:dyDescent="0.25">
      <c r="AC95" s="9">
        <v>804425</v>
      </c>
      <c r="AD95" s="9" t="s">
        <v>481</v>
      </c>
    </row>
    <row r="96" spans="2:30" x14ac:dyDescent="0.25">
      <c r="AC96" s="9">
        <v>804430</v>
      </c>
      <c r="AD96" s="9" t="s">
        <v>482</v>
      </c>
    </row>
    <row r="97" spans="29:30" x14ac:dyDescent="0.25">
      <c r="AC97" s="9">
        <v>906630</v>
      </c>
      <c r="AD97" s="9" t="s">
        <v>483</v>
      </c>
    </row>
    <row r="98" spans="29:30" x14ac:dyDescent="0.25">
      <c r="AC98" s="9">
        <v>907430</v>
      </c>
      <c r="AD98" s="9" t="s">
        <v>484</v>
      </c>
    </row>
    <row r="99" spans="29:30" x14ac:dyDescent="0.25">
      <c r="AC99" s="9">
        <v>915925</v>
      </c>
      <c r="AD99" s="9" t="s">
        <v>485</v>
      </c>
    </row>
    <row r="100" spans="29:30" x14ac:dyDescent="0.25">
      <c r="AC100" s="9">
        <v>915930</v>
      </c>
      <c r="AD100" s="9" t="s">
        <v>486</v>
      </c>
    </row>
    <row r="101" spans="29:30" x14ac:dyDescent="0.25">
      <c r="AC101" s="9">
        <v>916025</v>
      </c>
      <c r="AD101" s="9" t="s">
        <v>487</v>
      </c>
    </row>
    <row r="102" spans="29:30" x14ac:dyDescent="0.25">
      <c r="AC102" s="9">
        <v>916030</v>
      </c>
      <c r="AD102" s="9" t="s">
        <v>488</v>
      </c>
    </row>
    <row r="103" spans="29:30" x14ac:dyDescent="0.25">
      <c r="AC103" s="9"/>
      <c r="AD103" s="9"/>
    </row>
    <row r="104" spans="29:30" x14ac:dyDescent="0.25">
      <c r="AC104" s="9"/>
      <c r="AD104" s="9"/>
    </row>
    <row r="105" spans="29:30" x14ac:dyDescent="0.25">
      <c r="AC105" s="9"/>
      <c r="AD105" s="9"/>
    </row>
    <row r="106" spans="29:30" x14ac:dyDescent="0.25">
      <c r="AC106" s="349" t="s">
        <v>789</v>
      </c>
      <c r="AD106" s="9" t="s">
        <v>790</v>
      </c>
    </row>
    <row r="107" spans="29:30" x14ac:dyDescent="0.25">
      <c r="AC107" s="349" t="s">
        <v>791</v>
      </c>
      <c r="AD107" s="9" t="s">
        <v>792</v>
      </c>
    </row>
    <row r="108" spans="29:30" x14ac:dyDescent="0.25">
      <c r="AC108" s="349" t="s">
        <v>793</v>
      </c>
      <c r="AD108" s="9" t="s">
        <v>794</v>
      </c>
    </row>
    <row r="109" spans="29:30" x14ac:dyDescent="0.25">
      <c r="AC109" s="349" t="s">
        <v>795</v>
      </c>
      <c r="AD109" s="9" t="s">
        <v>796</v>
      </c>
    </row>
    <row r="110" spans="29:30" x14ac:dyDescent="0.25">
      <c r="AC110" s="349" t="s">
        <v>797</v>
      </c>
      <c r="AD110" s="9" t="s">
        <v>798</v>
      </c>
    </row>
    <row r="111" spans="29:30" x14ac:dyDescent="0.25">
      <c r="AC111" s="349" t="s">
        <v>799</v>
      </c>
      <c r="AD111" s="9" t="s">
        <v>800</v>
      </c>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F5E7-C731-422A-A4E4-5E8D053E8A26}">
  <sheetPr>
    <tabColor rgb="FFED1653"/>
  </sheetPr>
  <dimension ref="B1:AH115"/>
  <sheetViews>
    <sheetView showGridLines="0" topLeftCell="A12" zoomScaleNormal="100" workbookViewId="0">
      <selection activeCell="B31" sqref="B31"/>
    </sheetView>
  </sheetViews>
  <sheetFormatPr defaultColWidth="9.140625" defaultRowHeight="12.75" x14ac:dyDescent="0.2"/>
  <cols>
    <col min="1" max="1" width="9.140625" style="30"/>
    <col min="2" max="2" width="82.5703125" style="30" bestFit="1" customWidth="1"/>
    <col min="3" max="3" width="9.5703125" style="30" bestFit="1" customWidth="1"/>
    <col min="4" max="4" width="9" style="30" bestFit="1" customWidth="1"/>
    <col min="5" max="5" width="10.5703125" style="30" bestFit="1" customWidth="1"/>
    <col min="6" max="7" width="9.140625" style="30"/>
    <col min="8" max="8" width="46.28515625" style="30" customWidth="1"/>
    <col min="9" max="9" width="12" style="30" bestFit="1" customWidth="1"/>
    <col min="10" max="10" width="7" style="30" bestFit="1" customWidth="1"/>
    <col min="11" max="13" width="9.140625" style="30"/>
    <col min="14" max="14" width="48.85546875" style="30" customWidth="1"/>
    <col min="15" max="15" width="51.5703125" style="30" bestFit="1" customWidth="1"/>
    <col min="16" max="20" width="9.140625" style="30"/>
    <col min="21" max="21" width="35.28515625" style="30" bestFit="1" customWidth="1"/>
    <col min="22" max="22" width="10.85546875" style="30" bestFit="1" customWidth="1"/>
    <col min="23" max="24" width="9.140625" style="30"/>
    <col min="25" max="25" width="9.85546875" style="30" bestFit="1" customWidth="1"/>
    <col min="26" max="26" width="22.42578125" style="30" bestFit="1" customWidth="1"/>
    <col min="27" max="27" width="8" style="30" bestFit="1" customWidth="1"/>
    <col min="28" max="28" width="12.85546875" style="30" bestFit="1" customWidth="1"/>
    <col min="29" max="29" width="22.5703125" style="30" bestFit="1" customWidth="1"/>
    <col min="30" max="30" width="8.28515625" style="30" customWidth="1"/>
    <col min="31" max="31" width="40.28515625" style="30" bestFit="1" customWidth="1"/>
    <col min="32" max="32" width="14.140625" style="30" bestFit="1" customWidth="1"/>
    <col min="33" max="16384" width="9.140625" style="30"/>
  </cols>
  <sheetData>
    <row r="1" spans="2:34" s="61" customFormat="1" ht="19.5" thickBot="1" x14ac:dyDescent="0.35">
      <c r="B1" s="298" t="s">
        <v>32</v>
      </c>
      <c r="C1" s="299"/>
      <c r="D1" s="299"/>
      <c r="E1" s="30"/>
      <c r="F1" s="30"/>
      <c r="H1" s="301" t="s">
        <v>135</v>
      </c>
      <c r="I1" s="300"/>
      <c r="J1" s="300"/>
      <c r="K1" s="30"/>
      <c r="L1" s="30"/>
      <c r="N1" s="297" t="s">
        <v>46</v>
      </c>
      <c r="O1" s="62"/>
      <c r="P1" s="62"/>
      <c r="Q1" s="62"/>
      <c r="R1" s="62"/>
      <c r="S1" s="62"/>
      <c r="U1" s="301" t="s">
        <v>246</v>
      </c>
      <c r="V1" s="300"/>
      <c r="W1" s="300"/>
      <c r="AE1" s="301" t="s">
        <v>247</v>
      </c>
      <c r="AF1" s="301"/>
      <c r="AG1" s="300"/>
    </row>
    <row r="2" spans="2:34" ht="13.5" thickTop="1" x14ac:dyDescent="0.2">
      <c r="B2" s="295" t="s">
        <v>498</v>
      </c>
      <c r="C2" s="295" t="s">
        <v>248</v>
      </c>
      <c r="D2" s="295" t="s">
        <v>249</v>
      </c>
      <c r="H2" s="295" t="s">
        <v>250</v>
      </c>
      <c r="I2" s="295" t="s">
        <v>119</v>
      </c>
      <c r="J2" s="295" t="s">
        <v>120</v>
      </c>
      <c r="N2" s="295" t="s">
        <v>251</v>
      </c>
      <c r="O2" s="295" t="s">
        <v>159</v>
      </c>
      <c r="P2" s="295" t="s">
        <v>252</v>
      </c>
      <c r="Q2" s="295" t="s">
        <v>253</v>
      </c>
      <c r="R2" s="295" t="s">
        <v>119</v>
      </c>
      <c r="S2" s="295" t="s">
        <v>120</v>
      </c>
      <c r="U2" s="295" t="s">
        <v>254</v>
      </c>
      <c r="V2" s="295" t="s">
        <v>119</v>
      </c>
      <c r="W2" s="295" t="s">
        <v>120</v>
      </c>
      <c r="Y2" s="32" t="s">
        <v>255</v>
      </c>
      <c r="Z2" s="32" t="s">
        <v>256</v>
      </c>
      <c r="AA2" s="32" t="s">
        <v>257</v>
      </c>
      <c r="AB2" s="32" t="s">
        <v>227</v>
      </c>
      <c r="AC2" s="32" t="s">
        <v>258</v>
      </c>
      <c r="AD2" s="33"/>
      <c r="AE2" s="31"/>
      <c r="AF2" s="31"/>
      <c r="AG2" s="31"/>
    </row>
    <row r="3" spans="2:34" x14ac:dyDescent="0.2">
      <c r="B3" s="34" t="str">
        <f>HVAC!D3</f>
        <v>SELECT AC MEASURE FROM DROPDOWN</v>
      </c>
      <c r="C3" s="42" t="e">
        <f>HVAC!$E3*12000/1000*VLOOKUP(Input_BldgType,Table_EFLH,2,FALSE)*(1/VLOOKUP(HVAC!$D3,Table_RTUFactors,3,FALSE)-1/HVAC!$G3)</f>
        <v>#N/A</v>
      </c>
      <c r="D3" s="39" t="e">
        <f>HVAC!$E3*12000/1000*(1/VLOOKUP(HVAC!$D3,Table_RTUFactors,2,FALSE)-1/HVAC!$F3)*VLOOKUP(Input_BldgType,Table_EFLH,4,FALSE)</f>
        <v>#N/A</v>
      </c>
      <c r="H3" s="34" t="s">
        <v>155</v>
      </c>
      <c r="I3" s="35">
        <v>903.25033846153838</v>
      </c>
      <c r="J3" s="36">
        <v>0.10311076923076924</v>
      </c>
      <c r="N3" s="34" t="str">
        <f>_xlfn.CONCAT(O3,P3,Q3)</f>
        <v>Commercial dishwasher - ENERGY STAR® - Under counterHigh TempElectric/Electric</v>
      </c>
      <c r="O3" s="34" t="s">
        <v>753</v>
      </c>
      <c r="P3" s="34" t="s">
        <v>53</v>
      </c>
      <c r="Q3" s="34" t="s">
        <v>150</v>
      </c>
      <c r="R3" s="37">
        <v>3198</v>
      </c>
      <c r="S3" s="34">
        <v>0.4</v>
      </c>
      <c r="U3" s="34" t="s">
        <v>152</v>
      </c>
      <c r="V3" s="38">
        <f>$AA$27*AA20*($AA$3-$AA$4)*($AA$13-$AA$14)*AA6/$AA$29/3412</f>
        <v>1920.6022249626349</v>
      </c>
      <c r="W3" s="39">
        <f t="shared" ref="W3:W9" si="0">$AA$27*AA20*($AA$3-$AA$4)*($AA$13-$AA$14)*AA33/$AA$29/3412</f>
        <v>0.21047695616028878</v>
      </c>
      <c r="Y3" s="32" t="s">
        <v>259</v>
      </c>
      <c r="Z3" s="32" t="s">
        <v>260</v>
      </c>
      <c r="AA3" s="40">
        <v>2.2000000000000002</v>
      </c>
      <c r="AB3" s="41" t="s">
        <v>261</v>
      </c>
      <c r="AC3" s="41"/>
      <c r="AD3" s="33"/>
      <c r="AE3" s="34"/>
      <c r="AF3" s="34"/>
      <c r="AG3" s="36"/>
    </row>
    <row r="4" spans="2:34" x14ac:dyDescent="0.2">
      <c r="B4" s="34" t="str">
        <f>HVAC!D4</f>
        <v>SELECT AC MEASURE FROM DROPDOWN</v>
      </c>
      <c r="C4" s="42" t="e">
        <f>HVAC!$E4*12000/1000*VLOOKUP(Input_BldgType,Table_EFLH,2,FALSE)*(1/VLOOKUP(HVAC!$D4,Table_RTUFactors,3,FALSE)-1/HVAC!$G4)</f>
        <v>#N/A</v>
      </c>
      <c r="D4" s="39" t="e">
        <f>HVAC!$E4*12000/1000*(1/VLOOKUP(HVAC!$D4,Table_RTUFactors,2,FALSE)-1/HVAC!$F4)*VLOOKUP(Input_BldgType,Table_EFLH,4,FALSE)</f>
        <v>#N/A</v>
      </c>
      <c r="H4" s="34" t="s">
        <v>149</v>
      </c>
      <c r="I4" s="35">
        <v>760.36799999999994</v>
      </c>
      <c r="J4" s="36">
        <v>8.6800000000000002E-2</v>
      </c>
      <c r="N4" s="34" t="str">
        <f t="shared" ref="N4:N25" si="1">_xlfn.CONCAT(O4,P4,Q4)</f>
        <v>Commercial dishwasher - ENERGY STAR® - Under counterHigh TempGas/Electric</v>
      </c>
      <c r="O4" s="34" t="s">
        <v>753</v>
      </c>
      <c r="P4" s="34" t="s">
        <v>53</v>
      </c>
      <c r="Q4" s="34" t="s">
        <v>156</v>
      </c>
      <c r="R4" s="37">
        <v>2099</v>
      </c>
      <c r="S4" s="34">
        <v>0.3</v>
      </c>
      <c r="U4" s="34" t="s">
        <v>59</v>
      </c>
      <c r="V4" s="38">
        <f t="shared" ref="V4:V9" si="2">$AA$27*AA21*($AA$3-$AA$4)*($AA$13-$AA$14)*AA7/$AA$29/3412</f>
        <v>192.06022249626355</v>
      </c>
      <c r="W4" s="39">
        <f t="shared" si="0"/>
        <v>1.5785771712021657E-2</v>
      </c>
      <c r="Y4" s="32" t="s">
        <v>262</v>
      </c>
      <c r="Z4" s="32" t="s">
        <v>263</v>
      </c>
      <c r="AA4" s="40">
        <f>Misc.!$E$3</f>
        <v>0</v>
      </c>
      <c r="AB4" s="41" t="s">
        <v>261</v>
      </c>
      <c r="AC4" s="41"/>
      <c r="AD4" s="33"/>
      <c r="AE4" s="34"/>
      <c r="AF4" s="34"/>
      <c r="AG4" s="36"/>
    </row>
    <row r="5" spans="2:34" x14ac:dyDescent="0.2">
      <c r="B5" s="34" t="str">
        <f>HVAC!D5</f>
        <v>SELECT AC MEASURE FROM DROPDOWN</v>
      </c>
      <c r="C5" s="42" t="e">
        <f>HVAC!$E5*12000/1000*VLOOKUP(Input_BldgType,Table_EFLH,2,FALSE)*(1/VLOOKUP(HVAC!$D5,Table_RTUFactors,3,FALSE)-1/HVAC!$G5)</f>
        <v>#N/A</v>
      </c>
      <c r="D5" s="39" t="e">
        <f>HVAC!$E5*12000/1000*(1/VLOOKUP(HVAC!$D5,Table_RTUFactors,2,FALSE)-1/HVAC!$F5)*VLOOKUP(Input_BldgType,Table_EFLH,4,FALSE)</f>
        <v>#N/A</v>
      </c>
      <c r="N5" s="34" t="str">
        <f t="shared" si="1"/>
        <v>Commercial dishwasher - ENERGY STAR® - Under counterHigh TempGas/Gas</v>
      </c>
      <c r="O5" s="34" t="s">
        <v>753</v>
      </c>
      <c r="P5" s="34" t="s">
        <v>53</v>
      </c>
      <c r="Q5" s="34" t="s">
        <v>264</v>
      </c>
      <c r="R5" s="37">
        <v>1471</v>
      </c>
      <c r="S5" s="34">
        <v>0.2</v>
      </c>
      <c r="U5" s="34" t="s">
        <v>158</v>
      </c>
      <c r="V5" s="38">
        <f t="shared" si="2"/>
        <v>1441.7671496979781</v>
      </c>
      <c r="W5" s="39">
        <f t="shared" si="0"/>
        <v>0.21047695616028878</v>
      </c>
      <c r="Y5" s="32" t="s">
        <v>265</v>
      </c>
      <c r="Z5" s="32" t="s">
        <v>266</v>
      </c>
      <c r="AA5" s="40">
        <f>AVERAGE(AA6:AA12)</f>
        <v>312</v>
      </c>
      <c r="AB5" s="41" t="s">
        <v>267</v>
      </c>
      <c r="AC5" s="41" t="s">
        <v>268</v>
      </c>
      <c r="AD5" s="33"/>
    </row>
    <row r="6" spans="2:34" x14ac:dyDescent="0.2">
      <c r="B6" s="34" t="str">
        <f>HVAC!D6</f>
        <v>SELECT AC MEASURE FROM DROPDOWN</v>
      </c>
      <c r="C6" s="42" t="e">
        <f>HVAC!$E6*12000/1000*VLOOKUP(Input_BldgType,Table_EFLH,2,FALSE)*(1/VLOOKUP(HVAC!$D6,Table_RTUFactors,3,FALSE)-1/HVAC!$G6)</f>
        <v>#N/A</v>
      </c>
      <c r="D6" s="39" t="e">
        <f>HVAC!$E6*12000/1000*(1/VLOOKUP(HVAC!$D6,Table_RTUFactors,2,FALSE)-1/HVAC!$F6)*VLOOKUP(Input_BldgType,Table_EFLH,4,FALSE)</f>
        <v>#N/A</v>
      </c>
      <c r="H6" s="295" t="s">
        <v>269</v>
      </c>
      <c r="I6" s="295" t="s">
        <v>119</v>
      </c>
      <c r="J6" s="295" t="s">
        <v>120</v>
      </c>
      <c r="N6" s="34" t="str">
        <f t="shared" si="1"/>
        <v>Commercial dishwasher - ENERGY STAR® - Under counterLow TempElectric/No Booster</v>
      </c>
      <c r="O6" s="34" t="s">
        <v>753</v>
      </c>
      <c r="P6" s="34" t="s">
        <v>142</v>
      </c>
      <c r="Q6" s="34" t="s">
        <v>151</v>
      </c>
      <c r="R6" s="37">
        <v>2580</v>
      </c>
      <c r="S6" s="34">
        <v>0.3</v>
      </c>
      <c r="U6" s="34" t="s">
        <v>165</v>
      </c>
      <c r="V6" s="38">
        <f t="shared" si="2"/>
        <v>192.06022249626355</v>
      </c>
      <c r="W6" s="39">
        <f t="shared" si="0"/>
        <v>1.5785771712021657E-2</v>
      </c>
      <c r="Y6" s="41"/>
      <c r="Z6" s="43" t="s">
        <v>152</v>
      </c>
      <c r="AA6" s="41">
        <v>365</v>
      </c>
      <c r="AB6" s="41" t="s">
        <v>267</v>
      </c>
      <c r="AC6" s="41"/>
      <c r="AD6" s="33"/>
      <c r="AE6" s="31" t="s">
        <v>270</v>
      </c>
      <c r="AF6" s="31" t="s">
        <v>271</v>
      </c>
      <c r="AG6" s="31" t="s">
        <v>119</v>
      </c>
      <c r="AH6" s="31" t="s">
        <v>120</v>
      </c>
    </row>
    <row r="7" spans="2:34" x14ac:dyDescent="0.2">
      <c r="B7" s="34" t="str">
        <f>HVAC!D7</f>
        <v>SELECT AC MEASURE FROM DROPDOWN</v>
      </c>
      <c r="C7" s="42" t="e">
        <f>HVAC!$E7*12000/1000*VLOOKUP(Input_BldgType,Table_EFLH,2,FALSE)*(1/VLOOKUP(HVAC!$D7,Table_RTUFactors,3,FALSE)-1/HVAC!$G7)</f>
        <v>#N/A</v>
      </c>
      <c r="D7" s="39" t="e">
        <f>HVAC!$E7*12000/1000*(1/VLOOKUP(HVAC!$D7,Table_RTUFactors,2,FALSE)-1/HVAC!$F7)*VLOOKUP(Input_BldgType,Table_EFLH,4,FALSE)</f>
        <v>#N/A</v>
      </c>
      <c r="H7" s="34" t="s">
        <v>155</v>
      </c>
      <c r="I7" s="35">
        <v>543.47039999999993</v>
      </c>
      <c r="J7" s="36">
        <v>6.2039999999999991E-2</v>
      </c>
      <c r="N7" s="34" t="str">
        <f t="shared" si="1"/>
        <v>Commercial dishwasher - ENERGY STAR® - Under counterLow TempGas/No Booster</v>
      </c>
      <c r="O7" s="34" t="s">
        <v>753</v>
      </c>
      <c r="P7" s="34" t="s">
        <v>142</v>
      </c>
      <c r="Q7" s="34" t="s">
        <v>272</v>
      </c>
      <c r="R7" s="37">
        <v>0</v>
      </c>
      <c r="S7" s="34">
        <v>0</v>
      </c>
      <c r="U7" s="34" t="s">
        <v>7</v>
      </c>
      <c r="V7" s="38">
        <f t="shared" si="2"/>
        <v>192.06022249626355</v>
      </c>
      <c r="W7" s="39">
        <f t="shared" si="0"/>
        <v>1.0523847808014438E-2</v>
      </c>
      <c r="Y7" s="41"/>
      <c r="Z7" s="43" t="s">
        <v>59</v>
      </c>
      <c r="AA7" s="41">
        <v>365</v>
      </c>
      <c r="AB7" s="41" t="s">
        <v>267</v>
      </c>
      <c r="AC7" s="41"/>
      <c r="AD7" s="33"/>
      <c r="AE7" s="34" t="s">
        <v>154</v>
      </c>
      <c r="AF7" s="34" t="s">
        <v>204</v>
      </c>
      <c r="AG7" s="34">
        <v>71.400000000000006</v>
      </c>
      <c r="AH7" s="34">
        <v>0</v>
      </c>
    </row>
    <row r="8" spans="2:34" x14ac:dyDescent="0.2">
      <c r="B8" s="34" t="str">
        <f>HVAC!D8</f>
        <v>SELECT AC MEASURE FROM DROPDOWN</v>
      </c>
      <c r="C8" s="42" t="e">
        <f>HVAC!$E8*12000/1000*VLOOKUP(Input_BldgType,Table_EFLH,2,FALSE)*(1/VLOOKUP(HVAC!$D8,Table_RTUFactors,3,FALSE)-1/HVAC!$G8)</f>
        <v>#N/A</v>
      </c>
      <c r="D8" s="39" t="e">
        <f>HVAC!$E8*12000/1000*(1/VLOOKUP(HVAC!$D8,Table_RTUFactors,2,FALSE)-1/HVAC!$F8)*VLOOKUP(Input_BldgType,Table_EFLH,4,FALSE)</f>
        <v>#N/A</v>
      </c>
      <c r="H8" s="34" t="s">
        <v>149</v>
      </c>
      <c r="I8" s="35">
        <v>501.072</v>
      </c>
      <c r="J8" s="36">
        <v>5.7200000000000001E-2</v>
      </c>
      <c r="N8" s="34" t="str">
        <f t="shared" si="1"/>
        <v>Commercial dishwasher - ENERGY STAR® - Stationary Single Tank DoorHigh TempElectric/Electric</v>
      </c>
      <c r="O8" s="34" t="s">
        <v>754</v>
      </c>
      <c r="P8" s="34" t="s">
        <v>53</v>
      </c>
      <c r="Q8" s="34" t="s">
        <v>150</v>
      </c>
      <c r="R8" s="37">
        <v>12040</v>
      </c>
      <c r="S8" s="34">
        <v>1.5</v>
      </c>
      <c r="U8" s="34" t="s">
        <v>61</v>
      </c>
      <c r="V8" s="38">
        <f t="shared" si="2"/>
        <v>1315.4809760018047</v>
      </c>
      <c r="W8" s="39">
        <f t="shared" si="0"/>
        <v>0.42095391232057755</v>
      </c>
      <c r="Y8" s="41"/>
      <c r="Z8" s="43" t="s">
        <v>158</v>
      </c>
      <c r="AA8" s="41">
        <v>274</v>
      </c>
      <c r="AB8" s="41" t="s">
        <v>267</v>
      </c>
      <c r="AC8" s="41"/>
      <c r="AD8" s="33"/>
      <c r="AE8" s="34" t="s">
        <v>10</v>
      </c>
      <c r="AF8" s="34" t="s">
        <v>277</v>
      </c>
      <c r="AG8" s="34">
        <v>61.2</v>
      </c>
      <c r="AH8" s="34">
        <v>0</v>
      </c>
    </row>
    <row r="9" spans="2:34" x14ac:dyDescent="0.2">
      <c r="B9" s="34" t="str">
        <f>HVAC!D9</f>
        <v>SELECT AC MEASURE FROM DROPDOWN</v>
      </c>
      <c r="C9" s="42" t="e">
        <f>HVAC!$E9*12000/1000*VLOOKUP(Input_BldgType,Table_EFLH,2,FALSE)*(1/VLOOKUP(HVAC!$D9,Table_RTUFactors,3,FALSE)-1/HVAC!$G9)</f>
        <v>#N/A</v>
      </c>
      <c r="D9" s="39" t="e">
        <f>HVAC!$E9*12000/1000*(1/VLOOKUP(HVAC!$D9,Table_RTUFactors,2,FALSE)-1/HVAC!$F9)*VLOOKUP(Input_BldgType,Table_EFLH,4,FALSE)</f>
        <v>#N/A</v>
      </c>
      <c r="H9" s="34" t="s">
        <v>278</v>
      </c>
      <c r="I9" s="35">
        <v>462.52799999999996</v>
      </c>
      <c r="J9" s="36">
        <v>5.2799999999999993E-2</v>
      </c>
      <c r="N9" s="34" t="str">
        <f t="shared" si="1"/>
        <v>Commercial dishwasher - ENERGY STAR® - Stationary Single Tank DoorHigh TempGas/Electric</v>
      </c>
      <c r="O9" s="34" t="s">
        <v>754</v>
      </c>
      <c r="P9" s="34" t="s">
        <v>53</v>
      </c>
      <c r="Q9" s="34" t="s">
        <v>156</v>
      </c>
      <c r="R9" s="37">
        <v>4905</v>
      </c>
      <c r="S9" s="34">
        <v>0.6</v>
      </c>
      <c r="U9" s="34" t="s">
        <v>174</v>
      </c>
      <c r="V9" s="38">
        <f t="shared" si="2"/>
        <v>1052.3847808014436</v>
      </c>
      <c r="W9" s="39">
        <f t="shared" si="0"/>
        <v>0.26309619520036093</v>
      </c>
      <c r="Y9" s="41"/>
      <c r="Z9" s="43" t="s">
        <v>165</v>
      </c>
      <c r="AA9" s="41">
        <v>365</v>
      </c>
      <c r="AB9" s="41" t="s">
        <v>267</v>
      </c>
      <c r="AC9" s="41"/>
      <c r="AD9" s="33"/>
    </row>
    <row r="10" spans="2:34" x14ac:dyDescent="0.2">
      <c r="B10" s="34" t="str">
        <f>HVAC!D10</f>
        <v>SELECT AC MEASURE FROM DROPDOWN</v>
      </c>
      <c r="C10" s="42" t="e">
        <f>HVAC!$E10*12000/1000*VLOOKUP(Input_BldgType,Table_EFLH,2,FALSE)*(1/VLOOKUP(HVAC!$D10,Table_RTUFactors,3,FALSE)-1/HVAC!$G10)</f>
        <v>#N/A</v>
      </c>
      <c r="D10" s="39" t="e">
        <f>HVAC!$E10*12000/1000*(1/VLOOKUP(HVAC!$D10,Table_RTUFactors,2,FALSE)-1/HVAC!$F10)*VLOOKUP(Input_BldgType,Table_EFLH,4,FALSE)</f>
        <v>#N/A</v>
      </c>
      <c r="N10" s="34" t="str">
        <f t="shared" si="1"/>
        <v>Commercial dishwasher - ENERGY STAR® - Stationary Single Tank DoorHigh TempGas/Gas</v>
      </c>
      <c r="O10" s="34" t="s">
        <v>754</v>
      </c>
      <c r="P10" s="34" t="s">
        <v>53</v>
      </c>
      <c r="Q10" s="34" t="s">
        <v>264</v>
      </c>
      <c r="R10" s="37">
        <v>827</v>
      </c>
      <c r="S10" s="34">
        <v>0.1</v>
      </c>
      <c r="U10" s="34" t="s">
        <v>177</v>
      </c>
      <c r="V10" s="38">
        <f>$AA$27*AA19*($AA$3-$AA$4)*($AA$13-$AA$14)*AA5/$AA$29/3412</f>
        <v>1008.4853013737264</v>
      </c>
      <c r="W10" s="39">
        <f>$AA$27*AA19*($AA$3-$AA$4)*($AA$13-$AA$14)*AA32/$AA$29/3412</f>
        <v>0.13391059404687758</v>
      </c>
      <c r="Y10" s="41"/>
      <c r="Z10" s="43" t="s">
        <v>7</v>
      </c>
      <c r="AA10" s="41">
        <v>365</v>
      </c>
      <c r="AB10" s="41" t="s">
        <v>267</v>
      </c>
      <c r="AC10" s="41"/>
      <c r="AD10" s="33"/>
      <c r="AE10" s="31" t="s">
        <v>279</v>
      </c>
      <c r="AF10" s="31" t="s">
        <v>119</v>
      </c>
      <c r="AG10" s="31" t="s">
        <v>120</v>
      </c>
    </row>
    <row r="11" spans="2:34" x14ac:dyDescent="0.2">
      <c r="H11" s="295" t="s">
        <v>280</v>
      </c>
      <c r="I11" s="295" t="s">
        <v>281</v>
      </c>
      <c r="J11" s="295" t="s">
        <v>282</v>
      </c>
      <c r="N11" s="34" t="str">
        <f t="shared" si="1"/>
        <v>Commercial dishwasher - ENERGY STAR® - Stationary Single Tank DoorLow TempElectric/No Booster</v>
      </c>
      <c r="O11" s="34" t="s">
        <v>754</v>
      </c>
      <c r="P11" s="34" t="s">
        <v>142</v>
      </c>
      <c r="Q11" s="34" t="s">
        <v>151</v>
      </c>
      <c r="R11" s="37">
        <v>16411</v>
      </c>
      <c r="S11" s="34">
        <v>2.1</v>
      </c>
      <c r="Y11" s="41"/>
      <c r="Z11" s="43" t="s">
        <v>61</v>
      </c>
      <c r="AA11" s="41">
        <v>250</v>
      </c>
      <c r="AB11" s="41" t="s">
        <v>267</v>
      </c>
      <c r="AC11" s="41"/>
      <c r="AD11" s="33"/>
      <c r="AE11" s="34" t="s">
        <v>283</v>
      </c>
      <c r="AF11" s="34">
        <v>158.72</v>
      </c>
      <c r="AG11" s="34">
        <v>8.0000000000000002E-3</v>
      </c>
    </row>
    <row r="12" spans="2:34" x14ac:dyDescent="0.2">
      <c r="H12" s="34" t="s">
        <v>155</v>
      </c>
      <c r="I12" s="34">
        <v>259</v>
      </c>
      <c r="J12" s="34">
        <v>6.0000000000000001E-3</v>
      </c>
      <c r="N12" s="34" t="str">
        <f t="shared" si="1"/>
        <v>Commercial dishwasher - ENERGY STAR® - Stationary Single Tank DoorLow TempGas/No Booster</v>
      </c>
      <c r="O12" s="34" t="s">
        <v>754</v>
      </c>
      <c r="P12" s="34" t="s">
        <v>142</v>
      </c>
      <c r="Q12" s="34" t="s">
        <v>272</v>
      </c>
      <c r="R12" s="37">
        <v>0</v>
      </c>
      <c r="S12" s="34">
        <v>0</v>
      </c>
      <c r="Y12" s="41"/>
      <c r="Z12" s="43" t="s">
        <v>174</v>
      </c>
      <c r="AA12" s="41">
        <v>200</v>
      </c>
      <c r="AB12" s="41" t="s">
        <v>267</v>
      </c>
      <c r="AC12" s="41"/>
      <c r="AD12" s="33"/>
      <c r="AE12" s="34" t="s">
        <v>284</v>
      </c>
      <c r="AF12" s="34">
        <v>337.92</v>
      </c>
      <c r="AG12" s="34">
        <v>1.7000000000000001E-2</v>
      </c>
    </row>
    <row r="13" spans="2:34" x14ac:dyDescent="0.2">
      <c r="B13" s="295" t="s">
        <v>273</v>
      </c>
      <c r="C13" s="295" t="s">
        <v>274</v>
      </c>
      <c r="D13" s="295" t="s">
        <v>275</v>
      </c>
      <c r="E13" s="295" t="s">
        <v>276</v>
      </c>
      <c r="F13" s="295" t="s">
        <v>249</v>
      </c>
      <c r="H13" s="34" t="s">
        <v>149</v>
      </c>
      <c r="I13" s="34">
        <v>248</v>
      </c>
      <c r="J13" s="34">
        <v>4.5999999999999999E-3</v>
      </c>
      <c r="N13" s="34" t="str">
        <f t="shared" si="1"/>
        <v>Commercial dishwasher - ENERGY STAR® - Pots, pans and utensilsHigh TempElectric/Electric</v>
      </c>
      <c r="O13" s="34" t="s">
        <v>755</v>
      </c>
      <c r="P13" s="34" t="s">
        <v>53</v>
      </c>
      <c r="Q13" s="34" t="s">
        <v>150</v>
      </c>
      <c r="R13" s="37">
        <v>3364</v>
      </c>
      <c r="S13" s="34">
        <v>0.4</v>
      </c>
      <c r="Y13" s="32" t="s">
        <v>285</v>
      </c>
      <c r="Z13" s="32" t="s">
        <v>286</v>
      </c>
      <c r="AA13" s="45">
        <v>105</v>
      </c>
      <c r="AB13" s="41" t="s">
        <v>287</v>
      </c>
      <c r="AC13" s="46">
        <f>AVERAGE(R5:R7)</f>
        <v>1350.3333333333333</v>
      </c>
      <c r="AD13" s="47"/>
      <c r="AE13" s="34" t="s">
        <v>288</v>
      </c>
      <c r="AF13" s="34">
        <v>97.28</v>
      </c>
      <c r="AG13" s="34">
        <v>5.0000000000000001E-3</v>
      </c>
    </row>
    <row r="14" spans="2:34" x14ac:dyDescent="0.2">
      <c r="B14" s="34" t="str">
        <f>HVAC!D12</f>
        <v>SELECT HP MEASURE FROM DROPDOWN</v>
      </c>
      <c r="C14" s="42" t="e">
        <f>HVAC!$E12*12000/1000*VLOOKUP(Input_BldgType,Table_EFLH,2,FALSE)*(1/VLOOKUP(HVAC!$D12,Table_RTUFactors,3,FALSE)-1/HVAC!$G12)</f>
        <v>#N/A</v>
      </c>
      <c r="D14" s="42" t="e">
        <f>HVAC!$E12*12000/1000*VLOOKUP(Input_BldgType,Table_EFLH,3,FALSE)*(1/VLOOKUP(HVAC!$D12,Table_RTUFactors,4,FALSE)-1/HVAC!$H12)</f>
        <v>#N/A</v>
      </c>
      <c r="E14" s="44" t="e">
        <f>SUM(C14:D14)</f>
        <v>#N/A</v>
      </c>
      <c r="F14" s="39" t="e">
        <f>HVAC!$E12*12000/1000*(1/VLOOKUP(HVAC!$D12,Table_RTUFactors,2,FALSE)-1/HVAC!$F12)*VLOOKUP(Input_BldgType,Table_EFLH,4,FALSE)</f>
        <v>#N/A</v>
      </c>
      <c r="H14" s="34" t="s">
        <v>239</v>
      </c>
      <c r="I14" s="34">
        <f>AVERAGE(I12:I13)</f>
        <v>253.5</v>
      </c>
      <c r="J14" s="34">
        <f>AVERAGE(J12:J13)</f>
        <v>5.3E-3</v>
      </c>
      <c r="N14" s="34" t="str">
        <f t="shared" si="1"/>
        <v>Commercial dishwasher - ENERGY STAR® - Pots, pans and utensilsHigh TempGas/Electric</v>
      </c>
      <c r="O14" s="34" t="s">
        <v>755</v>
      </c>
      <c r="P14" s="34" t="s">
        <v>53</v>
      </c>
      <c r="Q14" s="34" t="s">
        <v>156</v>
      </c>
      <c r="R14" s="37">
        <v>1223</v>
      </c>
      <c r="S14" s="34">
        <v>0.2</v>
      </c>
      <c r="Y14" s="32" t="s">
        <v>291</v>
      </c>
      <c r="Z14" s="32" t="s">
        <v>292</v>
      </c>
      <c r="AA14" s="48">
        <f>AVERAGE(AA15:AA17)</f>
        <v>72.996997574915099</v>
      </c>
      <c r="AB14" s="41"/>
      <c r="AC14" s="41" t="s">
        <v>293</v>
      </c>
      <c r="AD14" s="33"/>
    </row>
    <row r="15" spans="2:34" x14ac:dyDescent="0.2">
      <c r="B15" s="34" t="str">
        <f>HVAC!D13</f>
        <v>SELECT HP MEASURE FROM DROPDOWN</v>
      </c>
      <c r="C15" s="42" t="e">
        <f>HVAC!$E13*12000/1000*VLOOKUP(Input_BldgType,Table_EFLH,2,FALSE)*(1/VLOOKUP(HVAC!$D13,Table_RTUFactors,3,FALSE)-1/HVAC!$G13)</f>
        <v>#N/A</v>
      </c>
      <c r="D15" s="42" t="e">
        <f>HVAC!$E13*12000/1000*VLOOKUP(Input_BldgType,Table_EFLH,3,FALSE)*(1/VLOOKUP(HVAC!$D13,Table_RTUFactors,4,FALSE)-1/HVAC!$H13)</f>
        <v>#N/A</v>
      </c>
      <c r="E15" s="44" t="e">
        <f t="shared" ref="E15:E21" si="3">SUM(C15:D15)</f>
        <v>#N/A</v>
      </c>
      <c r="F15" s="39" t="e">
        <f>HVAC!$E13*12000/1000*(1/VLOOKUP(HVAC!$D13,Table_RTUFactors,2,FALSE)-1/HVAC!$F13)*VLOOKUP(Input_BldgType,Table_EFLH,4,FALSE)</f>
        <v>#N/A</v>
      </c>
      <c r="N15" s="34" t="str">
        <f t="shared" si="1"/>
        <v>Commercial dishwasher - ENERGY STAR® - Pots, pans and utensilsHigh TempGas/Gas</v>
      </c>
      <c r="O15" s="34" t="s">
        <v>755</v>
      </c>
      <c r="P15" s="34" t="s">
        <v>53</v>
      </c>
      <c r="Q15" s="34" t="s">
        <v>264</v>
      </c>
      <c r="R15" s="37">
        <v>0</v>
      </c>
      <c r="S15" s="34">
        <v>0</v>
      </c>
      <c r="Y15" s="41"/>
      <c r="Z15" s="43" t="s">
        <v>294</v>
      </c>
      <c r="AA15" s="49">
        <v>74.8192631219558</v>
      </c>
      <c r="AB15" s="41" t="s">
        <v>287</v>
      </c>
      <c r="AC15" s="41"/>
      <c r="AD15" s="33"/>
    </row>
    <row r="16" spans="2:34" x14ac:dyDescent="0.2">
      <c r="B16" s="34" t="str">
        <f>HVAC!D14</f>
        <v>SELECT HP MEASURE FROM DROPDOWN</v>
      </c>
      <c r="C16" s="42" t="e">
        <f>HVAC!$E14*12000/1000*VLOOKUP(Input_BldgType,Table_EFLH,2,FALSE)*(1/VLOOKUP(HVAC!$D14,Table_RTUFactors,3,FALSE)-1/HVAC!$G14)</f>
        <v>#N/A</v>
      </c>
      <c r="D16" s="42" t="e">
        <f>HVAC!$E14*12000/1000*VLOOKUP(Input_BldgType,Table_EFLH,3,FALSE)*(1/VLOOKUP(HVAC!$D14,Table_RTUFactors,4,FALSE)-1/HVAC!$H14)</f>
        <v>#N/A</v>
      </c>
      <c r="E16" s="44" t="e">
        <f t="shared" si="3"/>
        <v>#N/A</v>
      </c>
      <c r="F16" s="39" t="e">
        <f>HVAC!$E14*12000/1000*(1/VLOOKUP(HVAC!$D14,Table_RTUFactors,2,FALSE)-1/HVAC!$F14)*VLOOKUP(Input_BldgType,Table_EFLH,4,FALSE)</f>
        <v>#N/A</v>
      </c>
      <c r="H16" s="295" t="s">
        <v>295</v>
      </c>
      <c r="I16" s="295" t="s">
        <v>281</v>
      </c>
      <c r="J16" s="295" t="s">
        <v>282</v>
      </c>
      <c r="N16" s="34" t="str">
        <f t="shared" si="1"/>
        <v>Commercial dishwasher - ENERGY STAR®- Single tank conveyorHigh TempElectric/Electric</v>
      </c>
      <c r="O16" s="34" t="s">
        <v>756</v>
      </c>
      <c r="P16" s="34" t="s">
        <v>53</v>
      </c>
      <c r="Q16" s="34" t="s">
        <v>150</v>
      </c>
      <c r="R16" s="37">
        <v>9319</v>
      </c>
      <c r="S16" s="34">
        <v>1.2</v>
      </c>
      <c r="Y16" s="41"/>
      <c r="Z16" s="43" t="s">
        <v>296</v>
      </c>
      <c r="AA16" s="49">
        <v>72.834422484604943</v>
      </c>
      <c r="AB16" s="41" t="s">
        <v>287</v>
      </c>
      <c r="AC16" s="41"/>
      <c r="AD16" s="33"/>
    </row>
    <row r="17" spans="2:30" x14ac:dyDescent="0.2">
      <c r="B17" s="34" t="str">
        <f>HVAC!D15</f>
        <v>SELECT HP MEASURE FROM DROPDOWN</v>
      </c>
      <c r="C17" s="42" t="e">
        <f>HVAC!$E15*12000/1000*VLOOKUP(Input_BldgType,Table_EFLH,2,FALSE)*(1/VLOOKUP(HVAC!$D15,Table_RTUFactors,3,FALSE)-1/HVAC!$G15)</f>
        <v>#N/A</v>
      </c>
      <c r="D17" s="42" t="e">
        <f>HVAC!$E15*12000/1000*VLOOKUP(Input_BldgType,Table_EFLH,3,FALSE)*(1/VLOOKUP(HVAC!$D15,Table_RTUFactors,4,FALSE)-1/HVAC!$H15)</f>
        <v>#N/A</v>
      </c>
      <c r="E17" s="44" t="e">
        <f t="shared" si="3"/>
        <v>#N/A</v>
      </c>
      <c r="F17" s="39" t="e">
        <f>HVAC!$E15*12000/1000*(1/VLOOKUP(HVAC!$D15,Table_RTUFactors,2,FALSE)-1/HVAC!$F15)*VLOOKUP(Input_BldgType,Table_EFLH,4,FALSE)</f>
        <v>#N/A</v>
      </c>
      <c r="H17" s="35" t="s">
        <v>297</v>
      </c>
      <c r="I17" s="34">
        <v>112</v>
      </c>
      <c r="J17" s="34">
        <v>0</v>
      </c>
      <c r="N17" s="34" t="str">
        <f t="shared" si="1"/>
        <v>Commercial dishwasher - ENERGY STAR®- Single tank conveyorHigh TempGas/Electric</v>
      </c>
      <c r="O17" s="34" t="s">
        <v>756</v>
      </c>
      <c r="P17" s="34" t="s">
        <v>53</v>
      </c>
      <c r="Q17" s="34" t="s">
        <v>156</v>
      </c>
      <c r="R17" s="37">
        <v>4987</v>
      </c>
      <c r="S17" s="34">
        <v>0.6</v>
      </c>
      <c r="Y17" s="41"/>
      <c r="Z17" s="43" t="s">
        <v>298</v>
      </c>
      <c r="AA17" s="49">
        <v>71.33730711818454</v>
      </c>
      <c r="AB17" s="41" t="s">
        <v>287</v>
      </c>
      <c r="AC17" s="41"/>
      <c r="AD17" s="33"/>
    </row>
    <row r="18" spans="2:30" x14ac:dyDescent="0.2">
      <c r="B18" s="34" t="str">
        <f>HVAC!D16</f>
        <v>SELECT HP MEASURE FROM DROPDOWN</v>
      </c>
      <c r="C18" s="42" t="e">
        <f>HVAC!$E16*12000/1000*VLOOKUP(Input_BldgType,Table_EFLH,2,FALSE)*(1/VLOOKUP(HVAC!$D16,Table_RTUFactors,3,FALSE)-1/HVAC!$G16)</f>
        <v>#N/A</v>
      </c>
      <c r="D18" s="42" t="e">
        <f>HVAC!$E16*12000/1000*VLOOKUP(Input_BldgType,Table_EFLH,3,FALSE)*(1/VLOOKUP(HVAC!$D16,Table_RTUFactors,4,FALSE)-1/HVAC!$H16)</f>
        <v>#N/A</v>
      </c>
      <c r="E18" s="44" t="e">
        <f t="shared" si="3"/>
        <v>#N/A</v>
      </c>
      <c r="F18" s="39" t="e">
        <f>HVAC!$E16*12000/1000*(1/VLOOKUP(HVAC!$D16,Table_RTUFactors,2,FALSE)-1/HVAC!$F16)*VLOOKUP(Input_BldgType,Table_EFLH,4,FALSE)</f>
        <v>#N/A</v>
      </c>
      <c r="H18" s="35" t="s">
        <v>299</v>
      </c>
      <c r="I18" s="34">
        <v>209</v>
      </c>
      <c r="J18" s="34">
        <v>0</v>
      </c>
      <c r="N18" s="34" t="str">
        <f t="shared" si="1"/>
        <v>Commercial dishwasher - ENERGY STAR®- Single tank conveyorHigh TempGas/Gas</v>
      </c>
      <c r="O18" s="34" t="s">
        <v>756</v>
      </c>
      <c r="P18" s="34" t="s">
        <v>53</v>
      </c>
      <c r="Q18" s="34" t="s">
        <v>264</v>
      </c>
      <c r="R18" s="37">
        <v>2511</v>
      </c>
      <c r="S18" s="34">
        <v>0.3</v>
      </c>
      <c r="Y18" s="41"/>
      <c r="Z18" s="43" t="s">
        <v>300</v>
      </c>
      <c r="AA18" s="49">
        <v>70.467920315391083</v>
      </c>
      <c r="AB18" s="41" t="s">
        <v>287</v>
      </c>
      <c r="AC18" s="41"/>
      <c r="AD18" s="33"/>
    </row>
    <row r="19" spans="2:30" x14ac:dyDescent="0.2">
      <c r="B19" s="34" t="str">
        <f>HVAC!D17</f>
        <v>SELECT HP MEASURE FROM DROPDOWN</v>
      </c>
      <c r="C19" s="42" t="e">
        <f>HVAC!$E17*12000/1000*VLOOKUP(Input_BldgType,Table_EFLH,2,FALSE)*(1/VLOOKUP(HVAC!$D17,Table_RTUFactors,3,FALSE)-1/HVAC!$G17)</f>
        <v>#N/A</v>
      </c>
      <c r="D19" s="42" t="e">
        <f>HVAC!$E17*12000/1000*VLOOKUP(Input_BldgType,Table_EFLH,3,FALSE)*(1/VLOOKUP(HVAC!$D17,Table_RTUFactors,4,FALSE)-1/HVAC!$H17)</f>
        <v>#N/A</v>
      </c>
      <c r="E19" s="44" t="e">
        <f t="shared" si="3"/>
        <v>#N/A</v>
      </c>
      <c r="F19" s="39" t="e">
        <f>HVAC!$E17*12000/1000*(1/VLOOKUP(HVAC!$D17,Table_RTUFactors,2,FALSE)-1/HVAC!$F17)*VLOOKUP(Input_BldgType,Table_EFLH,4,FALSE)</f>
        <v>#N/A</v>
      </c>
      <c r="H19" s="35" t="s">
        <v>301</v>
      </c>
      <c r="I19" s="34">
        <v>182</v>
      </c>
      <c r="J19" s="34">
        <v>0</v>
      </c>
      <c r="N19" s="34" t="str">
        <f t="shared" si="1"/>
        <v>Commercial dishwasher - ENERGY STAR®- Single tank conveyorLow TempElectric/No Booster</v>
      </c>
      <c r="O19" s="34" t="s">
        <v>756</v>
      </c>
      <c r="P19" s="34" t="s">
        <v>142</v>
      </c>
      <c r="Q19" s="34" t="s">
        <v>151</v>
      </c>
      <c r="R19" s="37">
        <v>13835</v>
      </c>
      <c r="S19" s="34">
        <v>1.8</v>
      </c>
      <c r="Y19" s="32" t="s">
        <v>302</v>
      </c>
      <c r="Z19" s="32" t="s">
        <v>303</v>
      </c>
      <c r="AA19" s="45">
        <f>AVERAGE(AA20:AA26)</f>
        <v>18.428571428571427</v>
      </c>
      <c r="AB19" s="41"/>
      <c r="AC19" s="41" t="s">
        <v>268</v>
      </c>
      <c r="AD19" s="33"/>
    </row>
    <row r="20" spans="2:30" x14ac:dyDescent="0.2">
      <c r="B20" s="34" t="str">
        <f>HVAC!D18</f>
        <v>SELECT HP MEASURE FROM DROPDOWN</v>
      </c>
      <c r="C20" s="42" t="e">
        <f>HVAC!$E18*12000/1000*VLOOKUP(Input_BldgType,Table_EFLH,2,FALSE)*(1/VLOOKUP(HVAC!$D18,Table_RTUFactors,3,FALSE)-1/HVAC!$G18)</f>
        <v>#N/A</v>
      </c>
      <c r="D20" s="42" t="e">
        <f>HVAC!$E18*12000/1000*VLOOKUP(Input_BldgType,Table_EFLH,3,FALSE)*(1/VLOOKUP(HVAC!$D18,Table_RTUFactors,4,FALSE)-1/HVAC!$H18)</f>
        <v>#N/A</v>
      </c>
      <c r="E20" s="44" t="e">
        <f t="shared" si="3"/>
        <v>#N/A</v>
      </c>
      <c r="F20" s="39" t="e">
        <f>HVAC!$E18*12000/1000*(1/VLOOKUP(HVAC!$D18,Table_RTUFactors,2,FALSE)-1/HVAC!$F18)*VLOOKUP(Input_BldgType,Table_EFLH,4,FALSE)</f>
        <v>#N/A</v>
      </c>
      <c r="H20" s="35" t="s">
        <v>304</v>
      </c>
      <c r="I20" s="34">
        <v>83</v>
      </c>
      <c r="J20" s="34">
        <v>0</v>
      </c>
      <c r="N20" s="34" t="str">
        <f t="shared" si="1"/>
        <v>Commercial dishwasher - ENERGY STAR®- Single tank conveyorLow TempGas/No Booster</v>
      </c>
      <c r="O20" s="34" t="s">
        <v>756</v>
      </c>
      <c r="P20" s="34" t="s">
        <v>142</v>
      </c>
      <c r="Q20" s="34" t="s">
        <v>272</v>
      </c>
      <c r="R20" s="37">
        <v>0</v>
      </c>
      <c r="S20" s="34">
        <v>0</v>
      </c>
      <c r="Y20" s="41"/>
      <c r="Z20" s="43" t="s">
        <v>152</v>
      </c>
      <c r="AA20" s="41">
        <v>30</v>
      </c>
      <c r="AB20" s="41" t="s">
        <v>305</v>
      </c>
      <c r="AC20" s="41"/>
      <c r="AD20" s="33"/>
    </row>
    <row r="21" spans="2:30" x14ac:dyDescent="0.2">
      <c r="B21" s="34" t="str">
        <f>HVAC!D19</f>
        <v>SELECT HP MEASURE FROM DROPDOWN</v>
      </c>
      <c r="C21" s="42" t="e">
        <f>HVAC!$E19*12000/1000*VLOOKUP(Input_BldgType,Table_EFLH,2,FALSE)*(1/VLOOKUP(HVAC!$D19,Table_RTUFactors,3,FALSE)-1/HVAC!$G19)</f>
        <v>#N/A</v>
      </c>
      <c r="D21" s="42" t="e">
        <f>HVAC!$E19*12000/1000*VLOOKUP(Input_BldgType,Table_EFLH,3,FALSE)*(1/VLOOKUP(HVAC!$D19,Table_RTUFactors,4,FALSE)-1/HVAC!$H19)</f>
        <v>#N/A</v>
      </c>
      <c r="E21" s="44" t="e">
        <f t="shared" si="3"/>
        <v>#N/A</v>
      </c>
      <c r="F21" s="39" t="e">
        <f>HVAC!$E19*12000/1000*(1/VLOOKUP(HVAC!$D19,Table_RTUFactors,2,FALSE)-1/HVAC!$F19)*VLOOKUP(Input_BldgType,Table_EFLH,4,FALSE)</f>
        <v>#N/A</v>
      </c>
      <c r="H21" s="35" t="s">
        <v>306</v>
      </c>
      <c r="I21" s="34">
        <v>162</v>
      </c>
      <c r="J21" s="34">
        <v>0</v>
      </c>
      <c r="N21" s="34" t="str">
        <f t="shared" si="1"/>
        <v>Commercial dishwasher - ENERGY STAR® - Multiple tank conveyorHigh TempElectric/Electric</v>
      </c>
      <c r="O21" s="34" t="s">
        <v>757</v>
      </c>
      <c r="P21" s="34" t="s">
        <v>53</v>
      </c>
      <c r="Q21" s="34" t="s">
        <v>150</v>
      </c>
      <c r="R21" s="37">
        <v>27815</v>
      </c>
      <c r="S21" s="34">
        <v>3.6</v>
      </c>
      <c r="Y21" s="41"/>
      <c r="Z21" s="43" t="s">
        <v>59</v>
      </c>
      <c r="AA21" s="41">
        <v>3</v>
      </c>
      <c r="AB21" s="41" t="s">
        <v>305</v>
      </c>
      <c r="AC21" s="41"/>
      <c r="AD21" s="33"/>
    </row>
    <row r="22" spans="2:30" x14ac:dyDescent="0.2">
      <c r="H22" s="35" t="s">
        <v>307</v>
      </c>
      <c r="I22" s="34">
        <v>42</v>
      </c>
      <c r="J22" s="34">
        <v>0</v>
      </c>
      <c r="N22" s="34" t="str">
        <f t="shared" si="1"/>
        <v>Commercial dishwasher - ENERGY STAR® - Multiple tank conveyorHigh TempGas/Electric</v>
      </c>
      <c r="O22" s="34" t="s">
        <v>757</v>
      </c>
      <c r="P22" s="34" t="s">
        <v>53</v>
      </c>
      <c r="Q22" s="34" t="s">
        <v>156</v>
      </c>
      <c r="R22" s="37">
        <v>11378</v>
      </c>
      <c r="S22" s="34">
        <v>1.5</v>
      </c>
      <c r="Y22" s="41"/>
      <c r="Z22" s="43" t="s">
        <v>158</v>
      </c>
      <c r="AA22" s="41">
        <v>30</v>
      </c>
      <c r="AB22" s="41" t="s">
        <v>305</v>
      </c>
      <c r="AC22" s="41"/>
      <c r="AD22" s="33"/>
    </row>
    <row r="23" spans="2:30" x14ac:dyDescent="0.2">
      <c r="B23" s="295" t="s">
        <v>289</v>
      </c>
      <c r="C23" s="295" t="s">
        <v>274</v>
      </c>
      <c r="D23" s="295" t="s">
        <v>275</v>
      </c>
      <c r="E23" s="295" t="s">
        <v>290</v>
      </c>
      <c r="F23" s="295" t="s">
        <v>120</v>
      </c>
      <c r="H23" s="35" t="s">
        <v>308</v>
      </c>
      <c r="I23" s="34">
        <v>94</v>
      </c>
      <c r="J23" s="34">
        <v>0</v>
      </c>
      <c r="N23" s="34" t="str">
        <f t="shared" si="1"/>
        <v>Commercial dishwasher - ENERGY STAR® - Multiple tank conveyorHigh TempGas/Gas</v>
      </c>
      <c r="O23" s="34" t="s">
        <v>757</v>
      </c>
      <c r="P23" s="34" t="s">
        <v>53</v>
      </c>
      <c r="Q23" s="34" t="s">
        <v>264</v>
      </c>
      <c r="R23" s="37">
        <v>1986</v>
      </c>
      <c r="S23" s="34">
        <v>0.3</v>
      </c>
      <c r="Y23" s="41"/>
      <c r="Z23" s="43" t="s">
        <v>165</v>
      </c>
      <c r="AA23" s="41">
        <v>3</v>
      </c>
      <c r="AB23" s="41" t="s">
        <v>305</v>
      </c>
      <c r="AC23" s="41"/>
      <c r="AD23" s="33"/>
    </row>
    <row r="24" spans="2:30" x14ac:dyDescent="0.2">
      <c r="B24" s="34" t="s">
        <v>36</v>
      </c>
      <c r="C24" s="42" t="e">
        <f>HVAC!$E21*12000/1000*VLOOKUP(Input_BldgType,Table_EFLH,2,FALSE)*(1/VLOOKUP(HVAC!$D21,Table_ACTUFactors,3,FALSE)-1/VLOOKUP(HVAC!$D21,Table_ACTUFactors,6,FALSE))</f>
        <v>#N/A</v>
      </c>
      <c r="D24" s="50"/>
      <c r="E24" s="42" t="e">
        <f>SUM(C24:D24)</f>
        <v>#N/A</v>
      </c>
      <c r="F24" s="39" t="e">
        <f>HVAC!$E21*12000/1000*(1/VLOOKUP(HVAC!$D21,Table_ACTUFactors,2,FALSE)-1/VLOOKUP(HVAC!$D21,Table_ACTUFactors,5,FALSE))*VLOOKUP(Input_BldgType,Table_EFLH,4,FALSE)</f>
        <v>#N/A</v>
      </c>
      <c r="H24" s="35" t="s">
        <v>309</v>
      </c>
      <c r="I24" s="34">
        <v>132</v>
      </c>
      <c r="J24" s="34">
        <v>0</v>
      </c>
      <c r="N24" s="34" t="str">
        <f t="shared" si="1"/>
        <v>Commercial dishwasher - ENERGY STAR® - Multiple tank conveyorLow TempElectric/No Booster</v>
      </c>
      <c r="O24" s="34" t="s">
        <v>757</v>
      </c>
      <c r="P24" s="34" t="s">
        <v>142</v>
      </c>
      <c r="Q24" s="34" t="s">
        <v>151</v>
      </c>
      <c r="R24" s="37">
        <v>19112</v>
      </c>
      <c r="S24" s="34">
        <v>2.4</v>
      </c>
      <c r="Y24" s="41"/>
      <c r="Z24" s="43" t="s">
        <v>7</v>
      </c>
      <c r="AA24" s="41">
        <v>3</v>
      </c>
      <c r="AB24" s="41" t="s">
        <v>305</v>
      </c>
      <c r="AC24" s="41"/>
      <c r="AD24" s="33"/>
    </row>
    <row r="25" spans="2:30" x14ac:dyDescent="0.2">
      <c r="B25" s="34" t="s">
        <v>37</v>
      </c>
      <c r="C25" s="42" t="e">
        <f>HVAC!$E22*12000/1000*VLOOKUP(Input_BldgType,Table_EFLH,2,FALSE)*(1/VLOOKUP(HVAC!$D22,Table_ACTUFactors,3,FALSE)-1/VLOOKUP(HVAC!$D22,Table_ACTUFactors,6,FALSE))</f>
        <v>#N/A</v>
      </c>
      <c r="D25" s="42" t="e">
        <f>HVAC!E22*12000/1000*VLOOKUP(Input_BldgType,Table_EFLH,3,FALSE)*(1/VLOOKUP(HVAC!D22,Table_ACTUFactors,4,FALSE)-1/VLOOKUP(HVAC!D22,Table_ACTUFactors,7,FALSE))</f>
        <v>#N/A</v>
      </c>
      <c r="E25" s="42" t="e">
        <f>SUM(C25:D25)</f>
        <v>#N/A</v>
      </c>
      <c r="F25" s="39" t="e">
        <f>HVAC!$E22*12000/1000*(1/VLOOKUP(HVAC!$D22,Table_ACTUFactors,2,FALSE)-1/VLOOKUP(HVAC!$D22,Table_ACTUFactors,5,FALSE))*VLOOKUP(Input_BldgType,Table_EFLH,4,FALSE)</f>
        <v>#N/A</v>
      </c>
      <c r="H25" s="35" t="s">
        <v>310</v>
      </c>
      <c r="I25" s="34">
        <v>288</v>
      </c>
      <c r="J25" s="34">
        <v>0</v>
      </c>
      <c r="N25" s="34" t="str">
        <f t="shared" si="1"/>
        <v>Commercial dishwasher - ENERGY STAR® - Multiple tank conveyorLow TempGas/No Booster</v>
      </c>
      <c r="O25" s="34" t="s">
        <v>757</v>
      </c>
      <c r="P25" s="34" t="s">
        <v>142</v>
      </c>
      <c r="Q25" s="34" t="s">
        <v>272</v>
      </c>
      <c r="R25" s="37">
        <v>0</v>
      </c>
      <c r="S25" s="34">
        <v>0</v>
      </c>
      <c r="Y25" s="41"/>
      <c r="Z25" s="43" t="s">
        <v>61</v>
      </c>
      <c r="AA25" s="41">
        <v>30</v>
      </c>
      <c r="AB25" s="41" t="s">
        <v>305</v>
      </c>
      <c r="AC25" s="41"/>
      <c r="AD25" s="33"/>
    </row>
    <row r="26" spans="2:30" x14ac:dyDescent="0.2">
      <c r="B26" s="117"/>
      <c r="C26" s="118"/>
      <c r="D26" s="118"/>
      <c r="E26" s="118"/>
      <c r="F26" s="119"/>
      <c r="Y26" s="41"/>
      <c r="Z26" s="43" t="s">
        <v>174</v>
      </c>
      <c r="AA26" s="41">
        <v>30</v>
      </c>
      <c r="AB26" s="41" t="s">
        <v>305</v>
      </c>
      <c r="AC26" s="41"/>
      <c r="AD26" s="33"/>
    </row>
    <row r="27" spans="2:30" x14ac:dyDescent="0.2">
      <c r="B27" s="117"/>
      <c r="C27" s="118"/>
      <c r="D27" s="118"/>
      <c r="E27" s="118"/>
      <c r="F27" s="119"/>
      <c r="H27" s="295" t="s">
        <v>311</v>
      </c>
      <c r="I27" s="295" t="s">
        <v>162</v>
      </c>
      <c r="J27" s="295" t="s">
        <v>312</v>
      </c>
      <c r="K27" s="295" t="s">
        <v>119</v>
      </c>
      <c r="L27" s="295" t="s">
        <v>120</v>
      </c>
      <c r="Y27" s="32" t="s">
        <v>313</v>
      </c>
      <c r="Z27" s="32" t="s">
        <v>314</v>
      </c>
      <c r="AA27" s="40">
        <v>8.33</v>
      </c>
      <c r="AB27" s="41" t="s">
        <v>315</v>
      </c>
      <c r="AC27" s="41"/>
      <c r="AD27" s="33"/>
    </row>
    <row r="28" spans="2:30" x14ac:dyDescent="0.2">
      <c r="B28" s="117"/>
      <c r="C28" s="118"/>
      <c r="D28" s="118"/>
      <c r="E28" s="118"/>
      <c r="F28" s="119"/>
      <c r="H28" s="34" t="str">
        <f>_xlfn.CONCAT(I28,J28)</f>
        <v>Refrigerator0 - 15 cu. ft.</v>
      </c>
      <c r="I28" s="34" t="s">
        <v>219</v>
      </c>
      <c r="J28" s="34" t="s">
        <v>210</v>
      </c>
      <c r="K28" s="34">
        <v>290</v>
      </c>
      <c r="L28" s="34">
        <v>0.03</v>
      </c>
      <c r="N28" s="295" t="s">
        <v>316</v>
      </c>
      <c r="O28" s="295" t="s">
        <v>119</v>
      </c>
      <c r="P28" s="295" t="s">
        <v>120</v>
      </c>
      <c r="Y28" s="32" t="s">
        <v>317</v>
      </c>
      <c r="Z28" s="32" t="s">
        <v>318</v>
      </c>
      <c r="AA28" s="40">
        <v>1</v>
      </c>
      <c r="AB28" s="41" t="s">
        <v>319</v>
      </c>
      <c r="AC28" s="41"/>
      <c r="AD28" s="33"/>
    </row>
    <row r="29" spans="2:30" x14ac:dyDescent="0.2">
      <c r="H29" s="34" t="str">
        <f t="shared" ref="H29:H35" si="4">_xlfn.CONCAT(I29,J29)</f>
        <v>Refrigerator15 - 30 cu. ft</v>
      </c>
      <c r="I29" s="34" t="s">
        <v>219</v>
      </c>
      <c r="J29" s="34" t="s">
        <v>213</v>
      </c>
      <c r="K29" s="34">
        <v>631</v>
      </c>
      <c r="L29" s="34">
        <v>7.0000000000000007E-2</v>
      </c>
      <c r="N29" s="34" t="s">
        <v>169</v>
      </c>
      <c r="O29" s="37">
        <v>2485</v>
      </c>
      <c r="P29" s="34">
        <v>0.47699999999999998</v>
      </c>
      <c r="Y29" s="32" t="s">
        <v>321</v>
      </c>
      <c r="Z29" s="51" t="s">
        <v>322</v>
      </c>
      <c r="AA29" s="40">
        <f>AA30</f>
        <v>0.98</v>
      </c>
      <c r="AB29" s="41"/>
      <c r="AC29" s="41" t="s">
        <v>323</v>
      </c>
      <c r="AD29" s="33"/>
    </row>
    <row r="30" spans="2:30" x14ac:dyDescent="0.2">
      <c r="B30" s="296" t="s">
        <v>25</v>
      </c>
      <c r="C30" s="295" t="s">
        <v>248</v>
      </c>
      <c r="D30" s="295" t="s">
        <v>249</v>
      </c>
      <c r="H30" s="34" t="str">
        <f t="shared" si="4"/>
        <v>Refrigerator30 - 50 cu. ft.</v>
      </c>
      <c r="I30" s="34" t="s">
        <v>219</v>
      </c>
      <c r="J30" s="34" t="s">
        <v>214</v>
      </c>
      <c r="K30" s="34">
        <v>951</v>
      </c>
      <c r="L30" s="34">
        <v>0.11</v>
      </c>
      <c r="N30" s="34" t="s">
        <v>55</v>
      </c>
      <c r="O30" s="37">
        <v>2787</v>
      </c>
      <c r="P30" s="34">
        <v>0.53400000000000003</v>
      </c>
      <c r="Y30" s="41"/>
      <c r="Z30" s="43" t="s">
        <v>324</v>
      </c>
      <c r="AA30" s="41">
        <v>0.98</v>
      </c>
      <c r="AB30" s="41"/>
      <c r="AC30" s="41"/>
      <c r="AD30" s="33"/>
    </row>
    <row r="31" spans="2:30" x14ac:dyDescent="0.2">
      <c r="B31" s="347" t="str">
        <f>HVAC!$D24</f>
        <v>SELECT CHILLER MEASURE FROM DROPDOWN</v>
      </c>
      <c r="C31" s="37" t="e">
        <f>HVAC!$E24*VLOOKUP(Input_BldgType,Table_EFLH,2,FALSE)*(VLOOKUP($B31,Table_ChillerFactors,3,FALSE)-HVAC!$G24)</f>
        <v>#N/A</v>
      </c>
      <c r="D31" s="60" t="e">
        <f>HVAC!$E24*(VLOOKUP($B31,Table_ChillerFactors,2,FALSE)-HVAC!$F24)*VLOOKUP(Input_BldgType,Table_EFLH,4,FALSE)</f>
        <v>#N/A</v>
      </c>
      <c r="H31" s="34" t="str">
        <f t="shared" si="4"/>
        <v>Refrigerator≥ 50 cu. ft.</v>
      </c>
      <c r="I31" s="34" t="s">
        <v>219</v>
      </c>
      <c r="J31" s="34" t="s">
        <v>325</v>
      </c>
      <c r="K31" s="34">
        <v>1250</v>
      </c>
      <c r="L31" s="34">
        <v>0.14000000000000001</v>
      </c>
      <c r="Y31" s="41"/>
      <c r="Z31" s="43" t="s">
        <v>326</v>
      </c>
      <c r="AA31" s="41">
        <v>2.2000000000000002</v>
      </c>
      <c r="AB31" s="41"/>
      <c r="AC31" s="41" t="s">
        <v>327</v>
      </c>
      <c r="AD31" s="33"/>
    </row>
    <row r="32" spans="2:30" ht="38.25" x14ac:dyDescent="0.2">
      <c r="B32" s="347" t="str">
        <f>HVAC!$D25</f>
        <v>SELECT CHILLER MEASURE FROM DROPDOWN</v>
      </c>
      <c r="C32" s="37" t="e">
        <f>HVAC!$E25*VLOOKUP(Input_BldgType,Table_EFLH,2,FALSE)*(VLOOKUP($B32,Table_ChillerFactors,3,FALSE)-HVAC!$G25)</f>
        <v>#N/A</v>
      </c>
      <c r="D32" s="60" t="e">
        <f>HVAC!$E25*(VLOOKUP($B32,Table_ChillerFactors,2,FALSE)-HVAC!$F25)*VLOOKUP(Input_BldgType,Table_EFLH,4,FALSE)</f>
        <v>#N/A</v>
      </c>
      <c r="H32" s="34" t="str">
        <f t="shared" si="4"/>
        <v>Freezer0 - 15 cu. ft.</v>
      </c>
      <c r="I32" s="34" t="s">
        <v>221</v>
      </c>
      <c r="J32" s="34" t="s">
        <v>210</v>
      </c>
      <c r="K32" s="34">
        <v>869</v>
      </c>
      <c r="L32" s="34">
        <v>0.1</v>
      </c>
      <c r="Y32" s="32" t="s">
        <v>329</v>
      </c>
      <c r="Z32" s="52" t="s">
        <v>330</v>
      </c>
      <c r="AA32" s="53">
        <f>AVERAGE(AA33:AA39)</f>
        <v>4.1428571428571426E-2</v>
      </c>
      <c r="AB32" s="41"/>
      <c r="AC32" s="41" t="s">
        <v>268</v>
      </c>
      <c r="AD32" s="33"/>
    </row>
    <row r="33" spans="2:30" x14ac:dyDescent="0.2">
      <c r="B33" s="347" t="str">
        <f>HVAC!$D26</f>
        <v>SELECT CHILLER MEASURE FROM DROPDOWN</v>
      </c>
      <c r="C33" s="37" t="e">
        <f>HVAC!$E26*VLOOKUP(Input_BldgType,Table_EFLH,2,FALSE)*(VLOOKUP($B33,Table_ChillerFactors,3,FALSE)-HVAC!$G26)</f>
        <v>#N/A</v>
      </c>
      <c r="D33" s="60" t="e">
        <f>HVAC!$E26*(VLOOKUP($B33,Table_ChillerFactors,2,FALSE)-HVAC!$F26)*VLOOKUP(Input_BldgType,Table_EFLH,4,FALSE)</f>
        <v>#N/A</v>
      </c>
      <c r="H33" s="34" t="str">
        <f t="shared" si="4"/>
        <v>Freezer15 - 30 cu. ft</v>
      </c>
      <c r="I33" s="34" t="s">
        <v>221</v>
      </c>
      <c r="J33" s="34" t="s">
        <v>213</v>
      </c>
      <c r="K33" s="34">
        <v>869</v>
      </c>
      <c r="L33" s="34">
        <v>0.1</v>
      </c>
      <c r="N33" s="295" t="s">
        <v>331</v>
      </c>
      <c r="O33" s="295" t="s">
        <v>119</v>
      </c>
      <c r="P33" s="295" t="s">
        <v>120</v>
      </c>
      <c r="Y33" s="41"/>
      <c r="Z33" s="43" t="s">
        <v>152</v>
      </c>
      <c r="AA33" s="41">
        <v>0.04</v>
      </c>
      <c r="AB33" s="41"/>
      <c r="AC33" s="41"/>
      <c r="AD33" s="33"/>
    </row>
    <row r="34" spans="2:30" x14ac:dyDescent="0.2">
      <c r="B34" s="347" t="str">
        <f>HVAC!$D27</f>
        <v>SELECT CHILLER MEASURE FROM DROPDOWN</v>
      </c>
      <c r="C34" s="37" t="e">
        <f>HVAC!$E27*VLOOKUP(Input_BldgType,Table_EFLH,2,FALSE)*(VLOOKUP($B34,Table_ChillerFactors,3,FALSE)-HVAC!$G27)</f>
        <v>#N/A</v>
      </c>
      <c r="D34" s="60" t="e">
        <f>HVAC!$E27*(VLOOKUP($B34,Table_ChillerFactors,2,FALSE)-HVAC!$F27)*VLOOKUP(Input_BldgType,Table_EFLH,4,FALSE)</f>
        <v>#N/A</v>
      </c>
      <c r="H34" s="34" t="str">
        <f t="shared" si="4"/>
        <v>Freezer30 - 50 cu. ft.</v>
      </c>
      <c r="I34" s="34" t="s">
        <v>221</v>
      </c>
      <c r="J34" s="34" t="s">
        <v>214</v>
      </c>
      <c r="K34" s="34">
        <v>2593</v>
      </c>
      <c r="L34" s="34">
        <v>0.3</v>
      </c>
      <c r="N34" s="29" t="s">
        <v>759</v>
      </c>
      <c r="O34" s="37">
        <v>14397.5</v>
      </c>
      <c r="P34" s="34">
        <v>2.7850000000000001</v>
      </c>
      <c r="Y34" s="41"/>
      <c r="Z34" s="43" t="s">
        <v>59</v>
      </c>
      <c r="AA34" s="41">
        <v>0.03</v>
      </c>
      <c r="AB34" s="41"/>
      <c r="AC34" s="41"/>
      <c r="AD34" s="33"/>
    </row>
    <row r="35" spans="2:30" x14ac:dyDescent="0.2">
      <c r="B35" s="347" t="str">
        <f>HVAC!$D28</f>
        <v>SELECT CHILLER MEASURE FROM DROPDOWN</v>
      </c>
      <c r="C35" s="37" t="e">
        <f>HVAC!$E28*VLOOKUP(Input_BldgType,Table_EFLH,2,FALSE)*(VLOOKUP($B35,Table_ChillerFactors,3,FALSE)-HVAC!$G28)</f>
        <v>#N/A</v>
      </c>
      <c r="D35" s="60" t="e">
        <f>HVAC!$E28*(VLOOKUP($B35,Table_ChillerFactors,2,FALSE)-HVAC!$F28)*VLOOKUP(Input_BldgType,Table_EFLH,4,FALSE)</f>
        <v>#N/A</v>
      </c>
      <c r="H35" s="34" t="str">
        <f t="shared" si="4"/>
        <v>Freezer≥ 50 cu. ft.</v>
      </c>
      <c r="I35" s="34" t="s">
        <v>221</v>
      </c>
      <c r="J35" s="34" t="s">
        <v>325</v>
      </c>
      <c r="K35" s="34">
        <v>4375</v>
      </c>
      <c r="L35" s="34">
        <v>0.5</v>
      </c>
      <c r="N35" s="29" t="s">
        <v>760</v>
      </c>
      <c r="O35" s="37">
        <v>19220</v>
      </c>
      <c r="P35" s="34">
        <v>3.69</v>
      </c>
      <c r="Y35" s="41"/>
      <c r="Z35" s="43" t="s">
        <v>158</v>
      </c>
      <c r="AA35" s="41">
        <v>0.04</v>
      </c>
      <c r="AB35" s="41"/>
      <c r="AC35" s="41"/>
      <c r="AD35" s="33"/>
    </row>
    <row r="36" spans="2:30" x14ac:dyDescent="0.2">
      <c r="B36" s="347" t="str">
        <f>HVAC!$D29</f>
        <v>SELECT CHILLER MEASURE FROM DROPDOWN</v>
      </c>
      <c r="C36" s="37" t="e">
        <f>HVAC!$E29*VLOOKUP(Input_BldgType,Table_EFLH,2,FALSE)*(VLOOKUP($B36,Table_ChillerFactors,3,FALSE)-HVAC!$G29)</f>
        <v>#N/A</v>
      </c>
      <c r="D36" s="60" t="e">
        <f>HVAC!$E29*(VLOOKUP($B36,Table_ChillerFactors,2,FALSE)-HVAC!$F29)*VLOOKUP(Input_BldgType,Table_EFLH,4,FALSE)</f>
        <v>#N/A</v>
      </c>
      <c r="Y36" s="41"/>
      <c r="Z36" s="43" t="s">
        <v>165</v>
      </c>
      <c r="AA36" s="41">
        <v>0.03</v>
      </c>
      <c r="AB36" s="41"/>
      <c r="AC36" s="41"/>
      <c r="AD36" s="33"/>
    </row>
    <row r="37" spans="2:30" x14ac:dyDescent="0.2">
      <c r="B37" s="347" t="str">
        <f>HVAC!$D30</f>
        <v>SELECT CHILLER MEASURE FROM DROPDOWN</v>
      </c>
      <c r="C37" s="37" t="e">
        <f>HVAC!$E30*VLOOKUP(Input_BldgType,Table_EFLH,2,FALSE)*(VLOOKUP($B37,Table_ChillerFactors,3,FALSE)-HVAC!$G30)</f>
        <v>#N/A</v>
      </c>
      <c r="D37" s="60" t="e">
        <f>HVAC!$E30*(VLOOKUP($B37,Table_ChillerFactors,2,FALSE)-HVAC!$F30)*VLOOKUP(Input_BldgType,Table_EFLH,4,FALSE)</f>
        <v>#N/A</v>
      </c>
      <c r="H37" s="295" t="s">
        <v>335</v>
      </c>
      <c r="I37" s="295" t="s">
        <v>45</v>
      </c>
      <c r="J37" s="295" t="s">
        <v>336</v>
      </c>
      <c r="K37" s="295" t="s">
        <v>337</v>
      </c>
      <c r="L37" s="295" t="s">
        <v>338</v>
      </c>
      <c r="N37" s="295" t="s">
        <v>339</v>
      </c>
      <c r="O37" s="295" t="s">
        <v>119</v>
      </c>
      <c r="P37" s="295" t="s">
        <v>120</v>
      </c>
      <c r="Y37" s="41"/>
      <c r="Z37" s="43" t="s">
        <v>7</v>
      </c>
      <c r="AA37" s="41">
        <v>0.02</v>
      </c>
      <c r="AB37" s="41"/>
      <c r="AC37" s="41"/>
      <c r="AD37" s="33"/>
    </row>
    <row r="38" spans="2:30" x14ac:dyDescent="0.2">
      <c r="B38" s="347" t="str">
        <f>HVAC!$D31</f>
        <v>SELECT CHILLER MEASURE FROM DROPDOWN</v>
      </c>
      <c r="C38" s="37" t="e">
        <f>HVAC!$E31*VLOOKUP(Input_BldgType,Table_EFLH,2,FALSE)*(VLOOKUP($B38,Table_ChillerFactors,3,FALSE)-HVAC!$G31)</f>
        <v>#N/A</v>
      </c>
      <c r="D38" s="60" t="e">
        <f>HVAC!$E31*(VLOOKUP($B38,Table_ChillerFactors,2,FALSE)-HVAC!$F31)*VLOOKUP(Input_BldgType,Table_EFLH,4,FALSE)</f>
        <v>#N/A</v>
      </c>
      <c r="H38" s="34" t="str">
        <f>_xlfn.CONCAT(I38,J38)</f>
        <v>Supermarket – CoolerYes</v>
      </c>
      <c r="I38" s="34" t="s">
        <v>225</v>
      </c>
      <c r="J38" s="34" t="s">
        <v>237</v>
      </c>
      <c r="K38" s="34">
        <v>37</v>
      </c>
      <c r="L38" s="34">
        <v>4.2199999999999998E-3</v>
      </c>
      <c r="N38" s="34" t="s">
        <v>340</v>
      </c>
      <c r="O38" s="37">
        <v>28214</v>
      </c>
      <c r="P38" s="34">
        <v>5.4</v>
      </c>
      <c r="Y38" s="41"/>
      <c r="Z38" s="43" t="s">
        <v>61</v>
      </c>
      <c r="AA38" s="41">
        <v>0.08</v>
      </c>
      <c r="AB38" s="41"/>
      <c r="AC38" s="41"/>
      <c r="AD38" s="33"/>
    </row>
    <row r="39" spans="2:30" x14ac:dyDescent="0.2">
      <c r="B39" s="347" t="str">
        <f>HVAC!$D32</f>
        <v>SELECT CHILLER MEASURE FROM DROPDOWN</v>
      </c>
      <c r="C39" s="37" t="e">
        <f>HVAC!$E32*VLOOKUP(Input_BldgType,Table_EFLH,2,FALSE)*(VLOOKUP($B39,Table_ChillerFactors,3,FALSE)-HVAC!$G32)</f>
        <v>#N/A</v>
      </c>
      <c r="D39" s="60" t="e">
        <f>HVAC!$E32*(VLOOKUP($B39,Table_ChillerFactors,2,FALSE)-HVAC!$F32)*VLOOKUP(Input_BldgType,Table_EFLH,4,FALSE)</f>
        <v>#N/A</v>
      </c>
      <c r="H39" s="34" t="str">
        <f t="shared" ref="H39:H58" si="5">_xlfn.CONCAT(I39,J39)</f>
        <v>Supermarket – CoolerNo</v>
      </c>
      <c r="I39" s="34" t="s">
        <v>225</v>
      </c>
      <c r="J39" s="34" t="s">
        <v>238</v>
      </c>
      <c r="K39" s="34">
        <v>108</v>
      </c>
      <c r="L39" s="34">
        <v>1.23E-2</v>
      </c>
      <c r="N39" s="34" t="s">
        <v>54</v>
      </c>
      <c r="O39" s="37">
        <v>38081</v>
      </c>
      <c r="P39" s="34">
        <v>7.3</v>
      </c>
      <c r="Y39" s="41"/>
      <c r="Z39" s="43" t="s">
        <v>174</v>
      </c>
      <c r="AA39" s="41">
        <v>0.05</v>
      </c>
      <c r="AB39" s="41"/>
      <c r="AC39" s="41"/>
      <c r="AD39" s="33"/>
    </row>
    <row r="40" spans="2:30" x14ac:dyDescent="0.2">
      <c r="H40" s="34" t="str">
        <f t="shared" si="5"/>
        <v>Supermarket – CoolerUnknown</v>
      </c>
      <c r="I40" s="34" t="s">
        <v>225</v>
      </c>
      <c r="J40" s="34" t="s">
        <v>239</v>
      </c>
      <c r="K40" s="34">
        <v>62</v>
      </c>
      <c r="L40" s="34">
        <v>7.0800000000000004E-3</v>
      </c>
      <c r="N40" s="34" t="s">
        <v>341</v>
      </c>
      <c r="O40" s="37">
        <v>47948</v>
      </c>
      <c r="P40" s="34">
        <v>9.1999999999999993</v>
      </c>
    </row>
    <row r="41" spans="2:30" x14ac:dyDescent="0.2">
      <c r="B41" s="295" t="s">
        <v>320</v>
      </c>
      <c r="C41" s="295" t="s">
        <v>119</v>
      </c>
      <c r="D41" s="295" t="s">
        <v>120</v>
      </c>
      <c r="H41" s="34" t="str">
        <f t="shared" si="5"/>
        <v>Supermarket – FreezerYes</v>
      </c>
      <c r="I41" s="34" t="s">
        <v>226</v>
      </c>
      <c r="J41" s="34" t="s">
        <v>237</v>
      </c>
      <c r="K41" s="34">
        <v>61</v>
      </c>
      <c r="L41" s="34">
        <v>6.96E-3</v>
      </c>
      <c r="N41" s="34" t="s">
        <v>342</v>
      </c>
      <c r="O41" s="37">
        <v>57815</v>
      </c>
      <c r="P41" s="34">
        <v>11.1</v>
      </c>
    </row>
    <row r="42" spans="2:30" x14ac:dyDescent="0.2">
      <c r="B42" s="34" t="s">
        <v>40</v>
      </c>
      <c r="C42" s="35">
        <v>355.79297454545502</v>
      </c>
      <c r="D42" s="36">
        <v>6.70158E-2</v>
      </c>
      <c r="H42" s="34" t="str">
        <f t="shared" si="5"/>
        <v>Supermarket – FreezerNo</v>
      </c>
      <c r="I42" s="34" t="s">
        <v>226</v>
      </c>
      <c r="J42" s="34" t="s">
        <v>238</v>
      </c>
      <c r="K42" s="34">
        <v>179</v>
      </c>
      <c r="L42" s="34">
        <v>3.9800000000000002E-2</v>
      </c>
    </row>
    <row r="43" spans="2:30" x14ac:dyDescent="0.2">
      <c r="H43" s="34" t="str">
        <f t="shared" si="5"/>
        <v>Supermarket – FreezerUnknown</v>
      </c>
      <c r="I43" s="34" t="s">
        <v>226</v>
      </c>
      <c r="J43" s="34" t="s">
        <v>239</v>
      </c>
      <c r="K43" s="34">
        <v>119</v>
      </c>
      <c r="L43" s="34">
        <v>1.358E-2</v>
      </c>
      <c r="U43" s="295" t="s">
        <v>343</v>
      </c>
      <c r="V43" s="295" t="s">
        <v>119</v>
      </c>
      <c r="W43" s="295" t="s">
        <v>120</v>
      </c>
      <c r="Y43" s="32" t="s">
        <v>255</v>
      </c>
      <c r="Z43" s="32" t="s">
        <v>256</v>
      </c>
      <c r="AA43" s="32" t="s">
        <v>257</v>
      </c>
      <c r="AB43" s="32" t="s">
        <v>227</v>
      </c>
      <c r="AC43" s="32" t="s">
        <v>258</v>
      </c>
    </row>
    <row r="44" spans="2:30" x14ac:dyDescent="0.2">
      <c r="B44" s="295" t="s">
        <v>328</v>
      </c>
      <c r="C44" s="295" t="s">
        <v>119</v>
      </c>
      <c r="D44" s="295" t="s">
        <v>120</v>
      </c>
      <c r="H44" s="34" t="str">
        <f t="shared" si="5"/>
        <v>Convenience Store - CoolerYes</v>
      </c>
      <c r="I44" s="34" t="s">
        <v>228</v>
      </c>
      <c r="J44" s="34" t="s">
        <v>237</v>
      </c>
      <c r="K44" s="34">
        <v>5</v>
      </c>
      <c r="L44" s="34">
        <v>5.6999999999999998E-4</v>
      </c>
      <c r="N44" s="295" t="s">
        <v>251</v>
      </c>
      <c r="O44" s="295" t="s">
        <v>119</v>
      </c>
      <c r="P44" s="295" t="s">
        <v>120</v>
      </c>
      <c r="U44" s="34" t="s">
        <v>187</v>
      </c>
      <c r="V44" s="38">
        <f>$AA$64*$AA$65*AA59*($AA$44-$AA$45)*($AA$52-$AA$53)*AA47/$AA$66/3412</f>
        <v>4327.3637224977647</v>
      </c>
      <c r="W44" s="39">
        <f>$AA$64*$AA$65*AA59*($AA$44-$AA$45)*($AA$52-$AA$53)*AA70/$AA$66/3412</f>
        <v>0.59278955102709108</v>
      </c>
      <c r="Y44" s="32" t="s">
        <v>259</v>
      </c>
      <c r="Z44" s="32" t="s">
        <v>260</v>
      </c>
      <c r="AA44" s="41">
        <v>2.25</v>
      </c>
      <c r="AB44" s="41" t="s">
        <v>261</v>
      </c>
      <c r="AC44" s="41"/>
      <c r="AD44" s="33"/>
    </row>
    <row r="45" spans="2:30" x14ac:dyDescent="0.2">
      <c r="B45" s="34" t="s">
        <v>41</v>
      </c>
      <c r="C45" s="35">
        <v>590.20000000000005</v>
      </c>
      <c r="D45" s="36">
        <v>0.248</v>
      </c>
      <c r="H45" s="34" t="str">
        <f t="shared" si="5"/>
        <v>Convenience Store - CoolerNo</v>
      </c>
      <c r="I45" s="34" t="s">
        <v>228</v>
      </c>
      <c r="J45" s="34" t="s">
        <v>238</v>
      </c>
      <c r="K45" s="34">
        <v>20</v>
      </c>
      <c r="L45" s="34">
        <v>2.2799999999999999E-3</v>
      </c>
      <c r="N45" s="34" t="s">
        <v>344</v>
      </c>
      <c r="O45" s="37">
        <v>223</v>
      </c>
      <c r="P45" s="34">
        <v>0.03</v>
      </c>
      <c r="U45" s="34" t="s">
        <v>191</v>
      </c>
      <c r="V45" s="38">
        <f>$AA$64*$AA$65*AA60*($AA$44-$AA$45)*($AA$52-$AA$53)*AA48/$AA$66/3412</f>
        <v>10097.18201916145</v>
      </c>
      <c r="W45" s="39">
        <f>$AA$64*$AA$65*AA60*($AA$44-$AA$45)*($AA$52-$AA$53)*AA71/$AA$66/3412</f>
        <v>1.10654049525057</v>
      </c>
      <c r="Y45" s="32" t="s">
        <v>262</v>
      </c>
      <c r="Z45" s="32" t="s">
        <v>263</v>
      </c>
      <c r="AA45" s="54">
        <f>Misc.!$E$5</f>
        <v>0</v>
      </c>
      <c r="AB45" s="41" t="s">
        <v>261</v>
      </c>
      <c r="AC45" s="41"/>
      <c r="AD45" s="33"/>
    </row>
    <row r="46" spans="2:30" x14ac:dyDescent="0.2">
      <c r="H46" s="34" t="str">
        <f t="shared" si="5"/>
        <v>Convenience Store - CoolerUnknown</v>
      </c>
      <c r="I46" s="34" t="s">
        <v>228</v>
      </c>
      <c r="J46" s="34" t="s">
        <v>239</v>
      </c>
      <c r="K46" s="34">
        <v>11</v>
      </c>
      <c r="L46" s="34">
        <v>1.2600000000000001E-3</v>
      </c>
      <c r="N46" s="34" t="s">
        <v>56</v>
      </c>
      <c r="O46" s="37">
        <v>792</v>
      </c>
      <c r="P46" s="34">
        <v>0.09</v>
      </c>
      <c r="U46" s="34" t="s">
        <v>195</v>
      </c>
      <c r="V46" s="38">
        <f>$AA$64*$AA$65*AA61*($AA$44-$AA$45)*($AA$52-$AA$53)*AA49/$AA$66/3412</f>
        <v>15159.604784932806</v>
      </c>
      <c r="W46" s="39">
        <f>$AA$64*$AA$65*AA61*($AA$44-$AA$45)*($AA$52-$AA$53)*AA72/$AA$66/3412</f>
        <v>1.6598107428758551</v>
      </c>
      <c r="Y46" s="32" t="s">
        <v>265</v>
      </c>
      <c r="Z46" s="32" t="s">
        <v>266</v>
      </c>
      <c r="AA46" s="41">
        <v>346.8</v>
      </c>
      <c r="AB46" s="41" t="s">
        <v>267</v>
      </c>
      <c r="AC46" s="41" t="s">
        <v>268</v>
      </c>
      <c r="AD46" s="33"/>
    </row>
    <row r="47" spans="2:30" x14ac:dyDescent="0.2">
      <c r="B47" s="295" t="s">
        <v>332</v>
      </c>
      <c r="C47" s="295" t="s">
        <v>333</v>
      </c>
      <c r="D47" s="295" t="s">
        <v>334</v>
      </c>
      <c r="H47" s="34" t="str">
        <f t="shared" si="5"/>
        <v>Convenience Store - FreezerYes</v>
      </c>
      <c r="I47" s="34" t="s">
        <v>232</v>
      </c>
      <c r="J47" s="34" t="s">
        <v>237</v>
      </c>
      <c r="K47" s="34">
        <v>8</v>
      </c>
      <c r="L47" s="34">
        <v>9.1E-4</v>
      </c>
      <c r="N47" s="34" t="s">
        <v>345</v>
      </c>
      <c r="O47" s="37">
        <v>921</v>
      </c>
      <c r="P47" s="34">
        <v>0.11</v>
      </c>
      <c r="U47" s="34" t="s">
        <v>158</v>
      </c>
      <c r="V47" s="38">
        <f>$AA$64*$AA$65*AA62*($AA$44-$AA$45)*($AA$52-$AA$53)*AA50/$AA$66/3412</f>
        <v>20194.364038322899</v>
      </c>
      <c r="W47" s="39">
        <f>$AA$64*$AA$65*AA62*($AA$44-$AA$45)*($AA$52-$AA$53)*AA73/$AA$66/3412</f>
        <v>2.2130809905011399</v>
      </c>
      <c r="Y47" s="41"/>
      <c r="Z47" s="41" t="s">
        <v>187</v>
      </c>
      <c r="AA47" s="41">
        <v>365</v>
      </c>
      <c r="AB47" s="41" t="s">
        <v>267</v>
      </c>
      <c r="AC47" s="41"/>
      <c r="AD47" s="33"/>
    </row>
    <row r="48" spans="2:30" x14ac:dyDescent="0.2">
      <c r="B48" s="34" t="s">
        <v>44</v>
      </c>
      <c r="C48" s="35">
        <v>4.4000000000000004</v>
      </c>
      <c r="D48" s="36">
        <v>3.0000000000000001E-3</v>
      </c>
      <c r="H48" s="34" t="str">
        <f t="shared" si="5"/>
        <v>Convenience Store - FreezerNo</v>
      </c>
      <c r="I48" s="34" t="s">
        <v>232</v>
      </c>
      <c r="J48" s="34" t="s">
        <v>238</v>
      </c>
      <c r="K48" s="34">
        <v>27</v>
      </c>
      <c r="L48" s="34">
        <v>3.0799999999999998E-3</v>
      </c>
      <c r="N48" s="34" t="s">
        <v>346</v>
      </c>
      <c r="O48" s="37">
        <v>1037</v>
      </c>
      <c r="P48" s="34">
        <v>0.12</v>
      </c>
      <c r="U48" s="34" t="s">
        <v>202</v>
      </c>
      <c r="V48" s="38">
        <f>$AA$64*$AA$65*AA63*($AA$44-$AA$45)*($AA$52-$AA$53)*AA51/$AA$66/3412</f>
        <v>10097.18201916145</v>
      </c>
      <c r="W48" s="39">
        <f>$AA$64*$AA$65*AA63*($AA$44-$AA$45)*($AA$52-$AA$53)*AA74/$AA$66/3412</f>
        <v>1.3831756190632123</v>
      </c>
      <c r="Y48" s="41"/>
      <c r="Z48" s="41" t="s">
        <v>191</v>
      </c>
      <c r="AA48" s="41">
        <v>365</v>
      </c>
      <c r="AB48" s="41" t="s">
        <v>267</v>
      </c>
      <c r="AC48" s="41"/>
      <c r="AD48" s="33"/>
    </row>
    <row r="49" spans="8:30" x14ac:dyDescent="0.2">
      <c r="H49" s="34" t="str">
        <f t="shared" si="5"/>
        <v>Convenience Store - FreezerUnknown</v>
      </c>
      <c r="I49" s="34" t="s">
        <v>232</v>
      </c>
      <c r="J49" s="34" t="s">
        <v>239</v>
      </c>
      <c r="K49" s="34">
        <v>17</v>
      </c>
      <c r="L49" s="34">
        <v>1.9400000000000001E-3</v>
      </c>
      <c r="N49" s="34" t="s">
        <v>347</v>
      </c>
      <c r="O49" s="37">
        <v>303</v>
      </c>
      <c r="P49" s="34">
        <v>0.03</v>
      </c>
      <c r="U49" s="34" t="s">
        <v>177</v>
      </c>
      <c r="V49" s="38">
        <f>$AA$64*$AA$65*AA58*($AA$44-$AA$45)*($AA$52-$AA$53)*AA46/$AA$66/3412</f>
        <v>12334.764977771711</v>
      </c>
      <c r="W49" s="39">
        <f>$AA$64*$AA$65*AA58*($AA$44-$AA$45)*($AA$52-$AA$53)*AA69/$AA$66/3412</f>
        <v>1.4938296685882693</v>
      </c>
      <c r="Y49" s="41"/>
      <c r="Z49" s="41" t="s">
        <v>195</v>
      </c>
      <c r="AA49" s="41">
        <v>274</v>
      </c>
      <c r="AB49" s="41" t="s">
        <v>267</v>
      </c>
      <c r="AC49" s="41"/>
      <c r="AD49" s="33"/>
    </row>
    <row r="50" spans="8:30" x14ac:dyDescent="0.2">
      <c r="H50" s="34" t="str">
        <f t="shared" si="5"/>
        <v>Restaurant - CoolerYes</v>
      </c>
      <c r="I50" s="34" t="s">
        <v>348</v>
      </c>
      <c r="J50" s="34" t="s">
        <v>237</v>
      </c>
      <c r="K50" s="34">
        <v>8</v>
      </c>
      <c r="L50" s="34">
        <v>9.1E-4</v>
      </c>
      <c r="N50" s="34" t="s">
        <v>349</v>
      </c>
      <c r="O50" s="37">
        <v>118</v>
      </c>
      <c r="P50" s="34">
        <v>0.01</v>
      </c>
      <c r="Y50" s="41"/>
      <c r="Z50" s="41" t="s">
        <v>158</v>
      </c>
      <c r="AA50" s="41">
        <v>365</v>
      </c>
      <c r="AB50" s="41" t="s">
        <v>267</v>
      </c>
      <c r="AC50" s="41"/>
      <c r="AD50" s="33"/>
    </row>
    <row r="51" spans="8:30" x14ac:dyDescent="0.2">
      <c r="H51" s="34" t="str">
        <f t="shared" si="5"/>
        <v>Restaurant – CoolerNo</v>
      </c>
      <c r="I51" s="34" t="s">
        <v>234</v>
      </c>
      <c r="J51" s="34" t="s">
        <v>238</v>
      </c>
      <c r="K51" s="34">
        <v>30</v>
      </c>
      <c r="L51" s="34">
        <v>3.4199999999999999E-3</v>
      </c>
      <c r="Y51" s="41"/>
      <c r="Z51" s="41" t="s">
        <v>202</v>
      </c>
      <c r="AA51" s="41">
        <v>365</v>
      </c>
      <c r="AB51" s="41" t="s">
        <v>267</v>
      </c>
      <c r="AC51" s="41"/>
      <c r="AD51" s="33"/>
    </row>
    <row r="52" spans="8:30" x14ac:dyDescent="0.2">
      <c r="H52" s="34" t="str">
        <f t="shared" si="5"/>
        <v>Restaurant – CoolerUnknown</v>
      </c>
      <c r="I52" s="34" t="s">
        <v>234</v>
      </c>
      <c r="J52" s="34" t="s">
        <v>239</v>
      </c>
      <c r="K52" s="34">
        <v>18</v>
      </c>
      <c r="L52" s="34">
        <v>2.0500000000000002E-3</v>
      </c>
      <c r="Y52" s="32" t="s">
        <v>285</v>
      </c>
      <c r="Z52" s="32" t="s">
        <v>286</v>
      </c>
      <c r="AA52" s="41">
        <v>120</v>
      </c>
      <c r="AB52" s="41" t="s">
        <v>287</v>
      </c>
      <c r="AC52" s="41"/>
      <c r="AD52" s="33"/>
    </row>
    <row r="53" spans="8:30" x14ac:dyDescent="0.2">
      <c r="H53" s="34" t="str">
        <f t="shared" si="5"/>
        <v>Restaurant - FreezerYes</v>
      </c>
      <c r="I53" s="34" t="s">
        <v>235</v>
      </c>
      <c r="J53" s="34" t="s">
        <v>237</v>
      </c>
      <c r="K53" s="34">
        <v>34</v>
      </c>
      <c r="L53" s="34">
        <v>3.8800000000000002E-3</v>
      </c>
      <c r="Y53" s="32" t="s">
        <v>291</v>
      </c>
      <c r="Z53" s="32" t="s">
        <v>292</v>
      </c>
      <c r="AA53" s="46">
        <v>72.996997574915099</v>
      </c>
      <c r="AB53" s="41"/>
      <c r="AC53" s="41" t="s">
        <v>350</v>
      </c>
      <c r="AD53" s="33"/>
    </row>
    <row r="54" spans="8:30" x14ac:dyDescent="0.2">
      <c r="H54" s="34" t="str">
        <f t="shared" si="5"/>
        <v>Restaurant - FreezerNo</v>
      </c>
      <c r="I54" s="34" t="s">
        <v>235</v>
      </c>
      <c r="J54" s="34" t="s">
        <v>238</v>
      </c>
      <c r="K54" s="34">
        <v>119</v>
      </c>
      <c r="L54" s="34">
        <v>1.358E-2</v>
      </c>
      <c r="Y54" s="41"/>
      <c r="Z54" s="41" t="s">
        <v>294</v>
      </c>
      <c r="AA54" s="46">
        <v>74.8192631219558</v>
      </c>
      <c r="AB54" s="41" t="s">
        <v>287</v>
      </c>
      <c r="AC54" s="41"/>
      <c r="AD54" s="33"/>
    </row>
    <row r="55" spans="8:30" x14ac:dyDescent="0.2">
      <c r="H55" s="34" t="str">
        <f t="shared" si="5"/>
        <v>Restaurant - FreezerUnknown</v>
      </c>
      <c r="I55" s="34" t="s">
        <v>235</v>
      </c>
      <c r="J55" s="34" t="s">
        <v>239</v>
      </c>
      <c r="K55" s="34">
        <v>81</v>
      </c>
      <c r="L55" s="34">
        <v>9.2499999999999995E-3</v>
      </c>
      <c r="Y55" s="41"/>
      <c r="Z55" s="41" t="s">
        <v>296</v>
      </c>
      <c r="AA55" s="46">
        <v>72.834422484604943</v>
      </c>
      <c r="AB55" s="41" t="s">
        <v>287</v>
      </c>
      <c r="AC55" s="41"/>
      <c r="AD55" s="33"/>
    </row>
    <row r="56" spans="8:30" x14ac:dyDescent="0.2">
      <c r="H56" s="34" t="str">
        <f t="shared" si="5"/>
        <v>Refrigerated WarehouseYes</v>
      </c>
      <c r="I56" s="34" t="s">
        <v>205</v>
      </c>
      <c r="J56" s="34" t="s">
        <v>237</v>
      </c>
      <c r="K56" s="34">
        <v>254</v>
      </c>
      <c r="L56" s="34">
        <v>2.9000000000000001E-2</v>
      </c>
      <c r="Y56" s="41"/>
      <c r="Z56" s="41" t="s">
        <v>298</v>
      </c>
      <c r="AA56" s="46">
        <v>71.33730711818454</v>
      </c>
      <c r="AB56" s="41" t="s">
        <v>287</v>
      </c>
      <c r="AC56" s="41"/>
      <c r="AD56" s="33"/>
    </row>
    <row r="57" spans="8:30" x14ac:dyDescent="0.2">
      <c r="H57" s="34" t="str">
        <f t="shared" si="5"/>
        <v>Refrigerated WarehouseNo</v>
      </c>
      <c r="I57" s="34" t="s">
        <v>205</v>
      </c>
      <c r="J57" s="34" t="s">
        <v>238</v>
      </c>
      <c r="K57" s="34">
        <v>729</v>
      </c>
      <c r="L57" s="34">
        <v>8.3220000000000002E-2</v>
      </c>
      <c r="Y57" s="41"/>
      <c r="Z57" s="41" t="s">
        <v>300</v>
      </c>
      <c r="AA57" s="46">
        <v>70.467920315391083</v>
      </c>
      <c r="AB57" s="41" t="s">
        <v>287</v>
      </c>
      <c r="AC57" s="41"/>
      <c r="AD57" s="33"/>
    </row>
    <row r="58" spans="8:30" x14ac:dyDescent="0.2">
      <c r="H58" s="34" t="str">
        <f t="shared" si="5"/>
        <v>Refrigerated WarehouseUnknown</v>
      </c>
      <c r="I58" s="34" t="s">
        <v>205</v>
      </c>
      <c r="J58" s="34" t="s">
        <v>239</v>
      </c>
      <c r="K58" s="34">
        <v>287</v>
      </c>
      <c r="L58" s="34">
        <v>3.2759999999999997E-2</v>
      </c>
      <c r="Y58" s="32" t="s">
        <v>351</v>
      </c>
      <c r="Z58" s="32" t="s">
        <v>303</v>
      </c>
      <c r="AA58" s="41">
        <v>135</v>
      </c>
      <c r="AB58" s="41"/>
      <c r="AC58" s="41" t="s">
        <v>268</v>
      </c>
      <c r="AD58" s="33"/>
    </row>
    <row r="59" spans="8:30" x14ac:dyDescent="0.2">
      <c r="Y59" s="41"/>
      <c r="Z59" s="41" t="s">
        <v>187</v>
      </c>
      <c r="AA59" s="41">
        <v>45</v>
      </c>
      <c r="AB59" s="41" t="s">
        <v>305</v>
      </c>
      <c r="AC59" s="41"/>
      <c r="AD59" s="33"/>
    </row>
    <row r="60" spans="8:30" x14ac:dyDescent="0.2">
      <c r="Y60" s="41"/>
      <c r="Z60" s="41" t="s">
        <v>191</v>
      </c>
      <c r="AA60" s="41">
        <v>105</v>
      </c>
      <c r="AB60" s="41" t="s">
        <v>305</v>
      </c>
      <c r="AC60" s="41"/>
      <c r="AD60" s="33"/>
    </row>
    <row r="61" spans="8:30" x14ac:dyDescent="0.2">
      <c r="Y61" s="41"/>
      <c r="Z61" s="41" t="s">
        <v>195</v>
      </c>
      <c r="AA61" s="41">
        <v>210</v>
      </c>
      <c r="AB61" s="41" t="s">
        <v>305</v>
      </c>
      <c r="AC61" s="41"/>
      <c r="AD61" s="33"/>
    </row>
    <row r="62" spans="8:30" x14ac:dyDescent="0.2">
      <c r="Y62" s="41"/>
      <c r="Z62" s="41" t="s">
        <v>158</v>
      </c>
      <c r="AA62" s="41">
        <v>210</v>
      </c>
      <c r="AB62" s="41" t="s">
        <v>305</v>
      </c>
      <c r="AC62" s="41"/>
      <c r="AD62" s="33"/>
    </row>
    <row r="63" spans="8:30" x14ac:dyDescent="0.2">
      <c r="Y63" s="41"/>
      <c r="Z63" s="41" t="s">
        <v>202</v>
      </c>
      <c r="AA63" s="41">
        <v>105</v>
      </c>
      <c r="AB63" s="41" t="s">
        <v>305</v>
      </c>
      <c r="AC63" s="41"/>
      <c r="AD63" s="33"/>
    </row>
    <row r="64" spans="8:30" x14ac:dyDescent="0.2">
      <c r="Y64" s="32" t="s">
        <v>313</v>
      </c>
      <c r="Z64" s="32" t="s">
        <v>314</v>
      </c>
      <c r="AA64" s="41">
        <v>8.33</v>
      </c>
      <c r="AB64" s="41" t="s">
        <v>315</v>
      </c>
      <c r="AC64" s="41"/>
      <c r="AD64" s="33"/>
    </row>
    <row r="65" spans="21:30" x14ac:dyDescent="0.2">
      <c r="Y65" s="32" t="s">
        <v>317</v>
      </c>
      <c r="Z65" s="32" t="s">
        <v>318</v>
      </c>
      <c r="AA65" s="41">
        <v>1</v>
      </c>
      <c r="AB65" s="41" t="s">
        <v>319</v>
      </c>
      <c r="AC65" s="41"/>
      <c r="AD65" s="33"/>
    </row>
    <row r="66" spans="21:30" x14ac:dyDescent="0.2">
      <c r="Y66" s="32" t="s">
        <v>321</v>
      </c>
      <c r="Z66" s="32" t="s">
        <v>322</v>
      </c>
      <c r="AA66" s="41">
        <v>0.98</v>
      </c>
      <c r="AB66" s="41"/>
      <c r="AC66" s="41" t="s">
        <v>323</v>
      </c>
      <c r="AD66" s="33"/>
    </row>
    <row r="67" spans="21:30" x14ac:dyDescent="0.2">
      <c r="Y67" s="41"/>
      <c r="Z67" s="41" t="s">
        <v>324</v>
      </c>
      <c r="AA67" s="41">
        <v>0.98</v>
      </c>
      <c r="AB67" s="41"/>
      <c r="AC67" s="41"/>
      <c r="AD67" s="33"/>
    </row>
    <row r="68" spans="21:30" x14ac:dyDescent="0.2">
      <c r="Y68" s="41"/>
      <c r="Z68" s="41" t="s">
        <v>352</v>
      </c>
      <c r="AA68" s="41">
        <v>0.8</v>
      </c>
      <c r="AB68" s="41"/>
      <c r="AC68" s="41"/>
      <c r="AD68" s="33"/>
    </row>
    <row r="69" spans="21:30" x14ac:dyDescent="0.2">
      <c r="Y69" s="32" t="s">
        <v>329</v>
      </c>
      <c r="Z69" s="32" t="s">
        <v>330</v>
      </c>
      <c r="AA69" s="41">
        <v>4.2000000000000003E-2</v>
      </c>
      <c r="AB69" s="41"/>
      <c r="AC69" s="41" t="s">
        <v>268</v>
      </c>
      <c r="AD69" s="33"/>
    </row>
    <row r="70" spans="21:30" x14ac:dyDescent="0.2">
      <c r="Y70" s="41"/>
      <c r="Z70" s="41" t="s">
        <v>187</v>
      </c>
      <c r="AA70" s="41">
        <v>0.05</v>
      </c>
      <c r="AB70" s="41"/>
      <c r="AC70" s="41"/>
      <c r="AD70" s="33"/>
    </row>
    <row r="71" spans="21:30" x14ac:dyDescent="0.2">
      <c r="Y71" s="41"/>
      <c r="Z71" s="41" t="s">
        <v>191</v>
      </c>
      <c r="AA71" s="41">
        <v>0.04</v>
      </c>
      <c r="AB71" s="41"/>
      <c r="AC71" s="41"/>
      <c r="AD71" s="33"/>
    </row>
    <row r="72" spans="21:30" x14ac:dyDescent="0.2">
      <c r="Y72" s="41"/>
      <c r="Z72" s="41" t="s">
        <v>195</v>
      </c>
      <c r="AA72" s="41">
        <v>0.03</v>
      </c>
      <c r="AB72" s="41"/>
      <c r="AC72" s="41"/>
      <c r="AD72" s="33"/>
    </row>
    <row r="73" spans="21:30" x14ac:dyDescent="0.2">
      <c r="Y73" s="41"/>
      <c r="Z73" s="41" t="s">
        <v>158</v>
      </c>
      <c r="AA73" s="41">
        <v>0.04</v>
      </c>
      <c r="AB73" s="41"/>
      <c r="AC73" s="41"/>
      <c r="AD73" s="33"/>
    </row>
    <row r="74" spans="21:30" x14ac:dyDescent="0.2">
      <c r="Y74" s="41"/>
      <c r="Z74" s="41" t="s">
        <v>202</v>
      </c>
      <c r="AA74" s="41">
        <v>0.05</v>
      </c>
      <c r="AB74" s="41"/>
      <c r="AC74" s="41"/>
      <c r="AD74" s="33"/>
    </row>
    <row r="78" spans="21:30" x14ac:dyDescent="0.2">
      <c r="U78" s="31" t="s">
        <v>353</v>
      </c>
      <c r="V78" s="31" t="s">
        <v>119</v>
      </c>
      <c r="W78" s="31" t="s">
        <v>120</v>
      </c>
      <c r="Y78" s="32" t="s">
        <v>255</v>
      </c>
      <c r="Z78" s="32" t="s">
        <v>256</v>
      </c>
      <c r="AA78" s="32" t="s">
        <v>257</v>
      </c>
      <c r="AB78" s="32" t="s">
        <v>227</v>
      </c>
      <c r="AC78" s="32" t="s">
        <v>258</v>
      </c>
    </row>
    <row r="79" spans="21:30" x14ac:dyDescent="0.2">
      <c r="U79" s="55" t="s">
        <v>211</v>
      </c>
      <c r="V79" s="38">
        <f>$AA$93*$AA$94*(($AA$86-$AA$87)*$AA$79*AA81*$AA$88)*($AA$95-$AA$96)/$AA$101/3412*AA105</f>
        <v>495.33452376927249</v>
      </c>
      <c r="W79" s="39">
        <f>$AA$93*$AA$94*(($AA$86-$AA$87)*$AA$79*AA81*$AA$88)*($AA$95-$AA$96)/$AA$101/3412*AA111</f>
        <v>4.071242661117308E-2</v>
      </c>
      <c r="Y79" s="32" t="s">
        <v>302</v>
      </c>
      <c r="Z79" s="32" t="s">
        <v>354</v>
      </c>
      <c r="AA79" s="40">
        <v>7.8</v>
      </c>
      <c r="AB79" s="41" t="s">
        <v>355</v>
      </c>
      <c r="AC79" s="41"/>
      <c r="AD79" s="33"/>
    </row>
    <row r="80" spans="21:30" ht="25.5" x14ac:dyDescent="0.2">
      <c r="U80" s="55" t="s">
        <v>7</v>
      </c>
      <c r="V80" s="38">
        <f>$AA$93*$AA$94*(($AA$86-$AA$87)*$AA$79*AA82*$AA$88)*($AA$95-$AA$96)/$AA$101/3412*AA106</f>
        <v>695.69455585572007</v>
      </c>
      <c r="W80" s="39">
        <f>$AA$93*$AA$94*(($AA$86-$AA$87)*$AA$79*AA82*$AA$88)*($AA$95-$AA$96)/$AA$101/3412*AA112</f>
        <v>3.8120249635929866E-2</v>
      </c>
      <c r="Y80" s="32" t="s">
        <v>356</v>
      </c>
      <c r="Z80" s="32" t="s">
        <v>357</v>
      </c>
      <c r="AA80" s="40">
        <f>AA83</f>
        <v>0.97</v>
      </c>
      <c r="AB80" s="56" t="s">
        <v>358</v>
      </c>
      <c r="AC80" s="41" t="s">
        <v>359</v>
      </c>
      <c r="AD80" s="33"/>
    </row>
    <row r="81" spans="21:30" x14ac:dyDescent="0.2">
      <c r="U81" s="55" t="s">
        <v>61</v>
      </c>
      <c r="V81" s="38">
        <f>$AA$93*$AA$94*(($AA$86-$AA$87)*$AA$79*AA83*$AA$88)*($AA$95-$AA$96)/$AA$101/3412*AA107</f>
        <v>369.76642146851964</v>
      </c>
      <c r="W81" s="39">
        <f>$AA$93*$AA$94*(($AA$86-$AA$87)*$AA$79*AA83*$AA$88)*($AA$95-$AA$96)/$AA$101/3412*AA113</f>
        <v>0.11832525486992629</v>
      </c>
      <c r="Y81" s="41"/>
      <c r="Z81" s="43" t="s">
        <v>211</v>
      </c>
      <c r="AA81" s="41">
        <v>0.89</v>
      </c>
      <c r="AB81" s="41"/>
      <c r="AC81" s="41"/>
      <c r="AD81" s="33"/>
    </row>
    <row r="82" spans="21:30" x14ac:dyDescent="0.2">
      <c r="U82" s="55" t="s">
        <v>217</v>
      </c>
      <c r="V82" s="38">
        <f>$AA$93*$AA$94*(($AA$86-$AA$87)*$AA$79*AA84*$AA$88)*($AA$95-$AA$96)/$AA$101/3412*AA108</f>
        <v>11097.719555010446</v>
      </c>
      <c r="W82" s="39">
        <f>$AA$93*$AA$94*(($AA$86-$AA$87)*$AA$79*AA84*$AA$88)*($AA$95-$AA$96)/$AA$101/3412*AA114</f>
        <v>2.4323768887694128</v>
      </c>
      <c r="Y82" s="41"/>
      <c r="Z82" s="43" t="s">
        <v>7</v>
      </c>
      <c r="AA82" s="41">
        <v>1.25</v>
      </c>
      <c r="AB82" s="41"/>
      <c r="AC82" s="41"/>
      <c r="AD82" s="33"/>
    </row>
    <row r="83" spans="21:30" x14ac:dyDescent="0.2">
      <c r="U83" s="55" t="s">
        <v>174</v>
      </c>
      <c r="V83" s="38">
        <f>$AA$93*$AA$94*(($AA$86-$AA$87)*$AA$79*AA85*$AA$88)*($AA$95-$AA$96)/$AA$101/3412*AA109</f>
        <v>402.54983615541937</v>
      </c>
      <c r="W83" s="39">
        <f>$AA$93*$AA$94*(($AA$86-$AA$87)*$AA$79*AA85*$AA$88)*($AA$95-$AA$96)/$AA$101/3412*AA115</f>
        <v>0.10063745903885485</v>
      </c>
      <c r="Y83" s="41"/>
      <c r="Z83" s="43" t="s">
        <v>61</v>
      </c>
      <c r="AA83" s="41">
        <v>0.97</v>
      </c>
      <c r="AB83" s="41"/>
      <c r="AC83" s="41"/>
      <c r="AD83" s="33"/>
    </row>
    <row r="84" spans="21:30" x14ac:dyDescent="0.2">
      <c r="U84" s="55" t="s">
        <v>177</v>
      </c>
      <c r="V84" s="38">
        <f>$AA$93*$AA$94*(($AA$86-$AA$87)*$AA$79*AA80*$AA$88)*($AA$95-$AA$96)/$AA$101/3412*AA104</f>
        <v>369.76642146851964</v>
      </c>
      <c r="W84" s="39">
        <f>$AA$93*$AA$94*(($AA$86-$AA$87)*$AA$79*AA80*$AA$88)*($AA$95-$AA$96)/$AA$101/3412*AA110</f>
        <v>0.11832525486992629</v>
      </c>
      <c r="Y84" s="41"/>
      <c r="Z84" s="43" t="s">
        <v>217</v>
      </c>
      <c r="AA84" s="41">
        <v>19.940000000000001</v>
      </c>
      <c r="AB84" s="41"/>
      <c r="AC84" s="41"/>
      <c r="AD84" s="33"/>
    </row>
    <row r="85" spans="21:30" x14ac:dyDescent="0.2">
      <c r="Y85" s="41"/>
      <c r="Z85" s="43" t="s">
        <v>174</v>
      </c>
      <c r="AA85" s="41">
        <v>1.32</v>
      </c>
      <c r="AB85" s="41"/>
      <c r="AC85" s="41"/>
      <c r="AD85" s="33"/>
    </row>
    <row r="86" spans="21:30" x14ac:dyDescent="0.2">
      <c r="Y86" s="32" t="s">
        <v>360</v>
      </c>
      <c r="Z86" s="32" t="s">
        <v>260</v>
      </c>
      <c r="AA86" s="40">
        <v>2.5</v>
      </c>
      <c r="AB86" s="41" t="s">
        <v>261</v>
      </c>
      <c r="AC86" s="41"/>
      <c r="AD86" s="33"/>
    </row>
    <row r="87" spans="21:30" x14ac:dyDescent="0.2">
      <c r="Y87" s="32" t="s">
        <v>361</v>
      </c>
      <c r="Z87" s="32" t="s">
        <v>263</v>
      </c>
      <c r="AA87" s="53">
        <f>Misc.!$E$4</f>
        <v>0</v>
      </c>
      <c r="AB87" s="41" t="s">
        <v>261</v>
      </c>
      <c r="AC87" s="41"/>
      <c r="AD87" s="33"/>
    </row>
    <row r="88" spans="21:30" x14ac:dyDescent="0.2">
      <c r="Y88" s="32" t="s">
        <v>362</v>
      </c>
      <c r="Z88" s="51" t="s">
        <v>363</v>
      </c>
      <c r="AA88" s="57">
        <f>AVERAGE(AA89:AA91)</f>
        <v>0.66779876627171664</v>
      </c>
      <c r="AB88" s="41"/>
      <c r="AC88" s="41" t="s">
        <v>350</v>
      </c>
      <c r="AD88" s="33"/>
    </row>
    <row r="89" spans="21:30" x14ac:dyDescent="0.2">
      <c r="Y89" s="41"/>
      <c r="Z89" s="43" t="s">
        <v>294</v>
      </c>
      <c r="AA89" s="57">
        <f>(104.4-AA97)/($AA$95-AA97)</f>
        <v>0.65472010688739146</v>
      </c>
      <c r="AB89" s="41"/>
      <c r="AC89" s="41" t="s">
        <v>364</v>
      </c>
      <c r="AD89" s="33"/>
    </row>
    <row r="90" spans="21:30" x14ac:dyDescent="0.2">
      <c r="Y90" s="41"/>
      <c r="Z90" s="43" t="s">
        <v>296</v>
      </c>
      <c r="AA90" s="57">
        <f>(104.4-AA98)/($AA$95-AA98)</f>
        <v>0.6692503130082933</v>
      </c>
      <c r="AB90" s="41"/>
      <c r="AC90" s="41"/>
      <c r="AD90" s="33"/>
    </row>
    <row r="91" spans="21:30" x14ac:dyDescent="0.2">
      <c r="Y91" s="41"/>
      <c r="Z91" s="43" t="s">
        <v>298</v>
      </c>
      <c r="AA91" s="57">
        <f>(104.4-AA99)/($AA$95-AA99)</f>
        <v>0.67942587891946504</v>
      </c>
      <c r="AB91" s="41"/>
      <c r="AC91" s="41"/>
      <c r="AD91" s="33"/>
    </row>
    <row r="92" spans="21:30" x14ac:dyDescent="0.2">
      <c r="Y92" s="41"/>
      <c r="Z92" s="43" t="s">
        <v>300</v>
      </c>
      <c r="AA92" s="57">
        <f>(104.4-AA100)/($AA$95-AA100)</f>
        <v>0.68505259421103259</v>
      </c>
      <c r="AB92" s="41"/>
      <c r="AC92" s="41"/>
      <c r="AD92" s="33"/>
    </row>
    <row r="93" spans="21:30" x14ac:dyDescent="0.2">
      <c r="Y93" s="32" t="s">
        <v>313</v>
      </c>
      <c r="Z93" s="32" t="s">
        <v>314</v>
      </c>
      <c r="AA93" s="40">
        <v>8.33</v>
      </c>
      <c r="AB93" s="41" t="s">
        <v>315</v>
      </c>
      <c r="AC93" s="41"/>
      <c r="AD93" s="33"/>
    </row>
    <row r="94" spans="21:30" x14ac:dyDescent="0.2">
      <c r="Y94" s="32" t="s">
        <v>317</v>
      </c>
      <c r="Z94" s="32" t="s">
        <v>318</v>
      </c>
      <c r="AA94" s="40">
        <v>1</v>
      </c>
      <c r="AB94" s="41" t="s">
        <v>319</v>
      </c>
      <c r="AC94" s="41"/>
      <c r="AD94" s="33"/>
    </row>
    <row r="95" spans="21:30" x14ac:dyDescent="0.2">
      <c r="Y95" s="32" t="s">
        <v>365</v>
      </c>
      <c r="Z95" s="32" t="s">
        <v>366</v>
      </c>
      <c r="AA95" s="40">
        <v>120</v>
      </c>
      <c r="AB95" s="41" t="s">
        <v>287</v>
      </c>
      <c r="AC95" s="41"/>
      <c r="AD95" s="33"/>
    </row>
    <row r="96" spans="21:30" x14ac:dyDescent="0.2">
      <c r="Y96" s="32" t="s">
        <v>291</v>
      </c>
      <c r="Z96" s="32" t="s">
        <v>292</v>
      </c>
      <c r="AA96" s="58">
        <f>AVERAGE(AA97:AA99)</f>
        <v>72.996997574915099</v>
      </c>
      <c r="AB96" s="41"/>
      <c r="AC96" s="41" t="s">
        <v>350</v>
      </c>
      <c r="AD96" s="33"/>
    </row>
    <row r="97" spans="25:30" x14ac:dyDescent="0.2">
      <c r="Y97" s="41"/>
      <c r="Z97" s="43" t="s">
        <v>294</v>
      </c>
      <c r="AA97" s="49">
        <v>74.8192631219558</v>
      </c>
      <c r="AB97" s="41" t="s">
        <v>287</v>
      </c>
      <c r="AC97" s="41"/>
      <c r="AD97" s="33"/>
    </row>
    <row r="98" spans="25:30" x14ac:dyDescent="0.2">
      <c r="Y98" s="41"/>
      <c r="Z98" s="43" t="s">
        <v>296</v>
      </c>
      <c r="AA98" s="49">
        <v>72.834422484604943</v>
      </c>
      <c r="AB98" s="41" t="s">
        <v>287</v>
      </c>
      <c r="AC98" s="41"/>
      <c r="AD98" s="33"/>
    </row>
    <row r="99" spans="25:30" x14ac:dyDescent="0.2">
      <c r="Y99" s="41"/>
      <c r="Z99" s="43" t="s">
        <v>298</v>
      </c>
      <c r="AA99" s="49">
        <v>71.33730711818454</v>
      </c>
      <c r="AB99" s="41" t="s">
        <v>287</v>
      </c>
      <c r="AC99" s="41"/>
      <c r="AD99" s="33"/>
    </row>
    <row r="100" spans="25:30" x14ac:dyDescent="0.2">
      <c r="Y100" s="41"/>
      <c r="Z100" s="43" t="s">
        <v>300</v>
      </c>
      <c r="AA100" s="49">
        <v>70.467920315391083</v>
      </c>
      <c r="AB100" s="41" t="s">
        <v>287</v>
      </c>
      <c r="AC100" s="41"/>
      <c r="AD100" s="33"/>
    </row>
    <row r="101" spans="25:30" x14ac:dyDescent="0.2">
      <c r="Y101" s="32" t="s">
        <v>321</v>
      </c>
      <c r="Z101" s="51" t="s">
        <v>322</v>
      </c>
      <c r="AA101" s="40">
        <f>AA102</f>
        <v>0.98</v>
      </c>
      <c r="AB101" s="41"/>
      <c r="AC101" s="41" t="s">
        <v>323</v>
      </c>
      <c r="AD101" s="33"/>
    </row>
    <row r="102" spans="25:30" x14ac:dyDescent="0.2">
      <c r="Y102" s="41"/>
      <c r="Z102" s="43" t="s">
        <v>324</v>
      </c>
      <c r="AA102" s="41">
        <v>0.98</v>
      </c>
      <c r="AB102" s="41"/>
      <c r="AC102" s="41"/>
      <c r="AD102" s="33"/>
    </row>
    <row r="103" spans="25:30" x14ac:dyDescent="0.2">
      <c r="Y103" s="41"/>
      <c r="Z103" s="43" t="s">
        <v>326</v>
      </c>
      <c r="AA103" s="41">
        <v>2.2000000000000002</v>
      </c>
      <c r="AB103" s="41"/>
      <c r="AC103" s="41"/>
      <c r="AD103" s="33"/>
    </row>
    <row r="104" spans="25:30" x14ac:dyDescent="0.2">
      <c r="Y104" s="32" t="s">
        <v>367</v>
      </c>
      <c r="Z104" s="59" t="s">
        <v>368</v>
      </c>
      <c r="AA104" s="40">
        <f>AA107</f>
        <v>250</v>
      </c>
      <c r="AB104" s="41" t="s">
        <v>369</v>
      </c>
      <c r="AC104" s="41" t="s">
        <v>359</v>
      </c>
      <c r="AD104" s="33"/>
    </row>
    <row r="105" spans="25:30" x14ac:dyDescent="0.2">
      <c r="Y105" s="41"/>
      <c r="Z105" s="43" t="s">
        <v>211</v>
      </c>
      <c r="AA105" s="41">
        <v>365</v>
      </c>
      <c r="AB105" s="41" t="s">
        <v>369</v>
      </c>
      <c r="AC105" s="41"/>
      <c r="AD105" s="33"/>
    </row>
    <row r="106" spans="25:30" x14ac:dyDescent="0.2">
      <c r="Y106" s="41"/>
      <c r="Z106" s="43" t="s">
        <v>7</v>
      </c>
      <c r="AA106" s="41">
        <v>365</v>
      </c>
      <c r="AB106" s="41" t="s">
        <v>369</v>
      </c>
      <c r="AC106" s="41"/>
      <c r="AD106" s="33"/>
    </row>
    <row r="107" spans="25:30" x14ac:dyDescent="0.2">
      <c r="Y107" s="41"/>
      <c r="Z107" s="43" t="s">
        <v>61</v>
      </c>
      <c r="AA107" s="41">
        <v>250</v>
      </c>
      <c r="AB107" s="41" t="s">
        <v>369</v>
      </c>
      <c r="AC107" s="41"/>
      <c r="AD107" s="33"/>
    </row>
    <row r="108" spans="25:30" x14ac:dyDescent="0.2">
      <c r="Y108" s="41"/>
      <c r="Z108" s="43" t="s">
        <v>217</v>
      </c>
      <c r="AA108" s="41">
        <v>365</v>
      </c>
      <c r="AB108" s="41" t="s">
        <v>369</v>
      </c>
      <c r="AC108" s="41"/>
      <c r="AD108" s="33"/>
    </row>
    <row r="109" spans="25:30" x14ac:dyDescent="0.2">
      <c r="Y109" s="41"/>
      <c r="Z109" s="43" t="s">
        <v>174</v>
      </c>
      <c r="AA109" s="41">
        <v>200</v>
      </c>
      <c r="AB109" s="41" t="s">
        <v>369</v>
      </c>
      <c r="AC109" s="41"/>
      <c r="AD109" s="33"/>
    </row>
    <row r="110" spans="25:30" x14ac:dyDescent="0.2">
      <c r="Y110" s="32" t="s">
        <v>329</v>
      </c>
      <c r="Z110" s="52" t="s">
        <v>370</v>
      </c>
      <c r="AA110" s="40">
        <f>AA113</f>
        <v>0.08</v>
      </c>
      <c r="AB110" s="41"/>
      <c r="AC110" s="41" t="s">
        <v>359</v>
      </c>
      <c r="AD110" s="33"/>
    </row>
    <row r="111" spans="25:30" x14ac:dyDescent="0.2">
      <c r="Y111" s="41"/>
      <c r="Z111" s="43" t="s">
        <v>211</v>
      </c>
      <c r="AA111" s="41">
        <v>0.03</v>
      </c>
      <c r="AB111" s="41"/>
      <c r="AC111" s="41"/>
      <c r="AD111" s="33"/>
    </row>
    <row r="112" spans="25:30" x14ac:dyDescent="0.2">
      <c r="Y112" s="41"/>
      <c r="Z112" s="43" t="s">
        <v>7</v>
      </c>
      <c r="AA112" s="41">
        <v>0.02</v>
      </c>
      <c r="AB112" s="41"/>
      <c r="AC112" s="41"/>
      <c r="AD112" s="33"/>
    </row>
    <row r="113" spans="25:30" x14ac:dyDescent="0.2">
      <c r="Y113" s="41"/>
      <c r="Z113" s="43" t="s">
        <v>61</v>
      </c>
      <c r="AA113" s="41">
        <v>0.08</v>
      </c>
      <c r="AB113" s="41"/>
      <c r="AC113" s="41"/>
      <c r="AD113" s="33"/>
    </row>
    <row r="114" spans="25:30" x14ac:dyDescent="0.2">
      <c r="Y114" s="41"/>
      <c r="Z114" s="43" t="s">
        <v>217</v>
      </c>
      <c r="AA114" s="41">
        <v>0.08</v>
      </c>
      <c r="AB114" s="41"/>
      <c r="AC114" s="41"/>
      <c r="AD114" s="33"/>
    </row>
    <row r="115" spans="25:30" x14ac:dyDescent="0.2">
      <c r="Y115" s="41"/>
      <c r="Z115" s="43" t="s">
        <v>174</v>
      </c>
      <c r="AA115" s="41">
        <v>0.05</v>
      </c>
      <c r="AB115" s="41"/>
      <c r="AC115" s="41"/>
      <c r="AD115" s="33"/>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28E0D-FE7B-481A-A63F-8C503844A340}">
  <sheetPr>
    <tabColor rgb="FFED1653"/>
  </sheetPr>
  <dimension ref="A1:Q55"/>
  <sheetViews>
    <sheetView showGridLines="0" zoomScaleNormal="100" workbookViewId="0">
      <pane ySplit="2" topLeftCell="A4" activePane="bottomLeft" state="frozen"/>
      <selection activeCell="C21" sqref="C21"/>
      <selection pane="bottomLeft" activeCell="J31" sqref="J31"/>
    </sheetView>
  </sheetViews>
  <sheetFormatPr defaultRowHeight="15" x14ac:dyDescent="0.25"/>
  <cols>
    <col min="1" max="1" width="14.7109375" bestFit="1" customWidth="1"/>
    <col min="2" max="2" width="14.7109375" customWidth="1"/>
    <col min="3" max="3" width="10.28515625" bestFit="1" customWidth="1"/>
    <col min="4" max="4" width="16.85546875" bestFit="1" customWidth="1"/>
    <col min="5" max="5" width="22.85546875" customWidth="1"/>
    <col min="6" max="6" width="12.5703125" bestFit="1" customWidth="1"/>
    <col min="7" max="7" width="8.7109375" bestFit="1" customWidth="1"/>
    <col min="8" max="8" width="11.28515625" bestFit="1" customWidth="1"/>
    <col min="9" max="9" width="10.7109375" bestFit="1" customWidth="1"/>
    <col min="10" max="10" width="12.28515625" bestFit="1" customWidth="1"/>
    <col min="11" max="11" width="13.7109375" bestFit="1" customWidth="1"/>
    <col min="12" max="12" width="13" bestFit="1" customWidth="1"/>
    <col min="13" max="13" width="13.42578125" bestFit="1" customWidth="1"/>
    <col min="14" max="14" width="11.5703125" bestFit="1" customWidth="1"/>
    <col min="15" max="15" width="12.85546875" bestFit="1" customWidth="1"/>
    <col min="16" max="16" width="22.42578125" bestFit="1" customWidth="1"/>
    <col min="17" max="17" width="56" bestFit="1" customWidth="1"/>
  </cols>
  <sheetData>
    <row r="1" spans="1:17" ht="45" x14ac:dyDescent="0.25">
      <c r="A1" s="302" t="s">
        <v>116</v>
      </c>
      <c r="B1" s="302"/>
      <c r="C1" s="302"/>
      <c r="D1" s="302"/>
      <c r="E1" s="303" t="s">
        <v>117</v>
      </c>
      <c r="F1" s="303" t="s">
        <v>118</v>
      </c>
      <c r="G1" s="303" t="s">
        <v>35</v>
      </c>
      <c r="H1" s="303" t="s">
        <v>119</v>
      </c>
      <c r="I1" s="303" t="s">
        <v>120</v>
      </c>
      <c r="J1" s="304" t="s">
        <v>121</v>
      </c>
      <c r="K1" s="303" t="s">
        <v>122</v>
      </c>
      <c r="L1" s="303" t="s">
        <v>123</v>
      </c>
      <c r="M1" s="303" t="s">
        <v>124</v>
      </c>
      <c r="N1" s="303" t="s">
        <v>125</v>
      </c>
      <c r="O1" s="303" t="s">
        <v>126</v>
      </c>
      <c r="P1" s="304" t="s">
        <v>383</v>
      </c>
    </row>
    <row r="2" spans="1:17" ht="45" x14ac:dyDescent="0.25">
      <c r="A2" s="305" t="s">
        <v>24</v>
      </c>
      <c r="B2" s="305" t="s">
        <v>127</v>
      </c>
      <c r="C2" s="305" t="s">
        <v>128</v>
      </c>
      <c r="D2" s="305" t="s">
        <v>129</v>
      </c>
      <c r="E2" s="305" t="s">
        <v>23</v>
      </c>
      <c r="F2" s="305" t="s">
        <v>130</v>
      </c>
      <c r="G2" s="305" t="s">
        <v>35</v>
      </c>
      <c r="H2" s="306" t="s">
        <v>31</v>
      </c>
      <c r="I2" s="305" t="s">
        <v>131</v>
      </c>
      <c r="J2" s="307" t="s">
        <v>121</v>
      </c>
      <c r="K2" s="305" t="s">
        <v>122</v>
      </c>
      <c r="L2" s="305" t="s">
        <v>123</v>
      </c>
      <c r="M2" s="305" t="s">
        <v>124</v>
      </c>
      <c r="N2" s="305" t="s">
        <v>132</v>
      </c>
      <c r="O2" s="305" t="s">
        <v>133</v>
      </c>
      <c r="P2" s="305" t="s">
        <v>383</v>
      </c>
      <c r="Q2" s="308" t="s">
        <v>134</v>
      </c>
    </row>
    <row r="3" spans="1:17" s="130" customFormat="1" hidden="1" x14ac:dyDescent="0.25">
      <c r="A3" s="124" t="s">
        <v>583</v>
      </c>
      <c r="B3" s="124" t="s">
        <v>583</v>
      </c>
      <c r="C3" s="124" t="str">
        <f>IF(ISNUMBER($E3)=TRUE,"Yes","")</f>
        <v>Yes</v>
      </c>
      <c r="D3" s="124">
        <f>Input_ProjectNumber</f>
        <v>0</v>
      </c>
      <c r="E3" s="124">
        <f>Input_BonusMeasureNumber</f>
        <v>0</v>
      </c>
      <c r="F3" s="124" t="str">
        <f>IF(ISNUMBER($E3)=TRUE,"Yes","")</f>
        <v>Yes</v>
      </c>
      <c r="G3" s="125" t="e">
        <f>IF(J3&gt;0,1,0)</f>
        <v>#REF!</v>
      </c>
      <c r="H3" s="124">
        <v>0</v>
      </c>
      <c r="I3" s="124">
        <v>0</v>
      </c>
      <c r="J3" s="126" t="e">
        <f>IF(ISNUMBER($E3)=TRUE,IF(AND(Subtotal_Incentive&gt;Value_Max_Incentive,Total_ProjectCost&gt;Value_Max_Incentive),0,IF(AND(Subtotal_Incentive&gt;Total_ProjectCost,Total_ProjectCost&lt;Value_Max_Incentive),0,IF(AND((Subtotal_Incentive+Subtotal_Bonus)&gt;Value_Max_Incentive,Total_ProjectCost&gt;Value_Max_Incentive),Value_Max_Incentive-Subtotal_Incentive,IF(AND((Subtotal_Incentive+Subtotal_Bonus)&gt;Total_ProjectCost,Total_ProjectCost&lt;Value_Max_Incentive),Total_ProjectCost-Subtotal_Incentive,Subtotal_Bonus)))))</f>
        <v>#REF!</v>
      </c>
      <c r="K3" s="124">
        <v>0</v>
      </c>
      <c r="L3" s="127">
        <v>0</v>
      </c>
      <c r="M3" s="127">
        <v>0</v>
      </c>
      <c r="N3" s="128">
        <v>0</v>
      </c>
      <c r="O3" s="127">
        <v>0</v>
      </c>
      <c r="P3" s="129" t="str">
        <f>Value_CalcVersion</f>
        <v>Non-Lighting 2025 - v5.0</v>
      </c>
      <c r="Q3" s="161" t="str">
        <f>IF(ISNUMBER($E3)=TRUE,"20% Customer Bonus Incentive","")</f>
        <v>20% Customer Bonus Incentive</v>
      </c>
    </row>
    <row r="4" spans="1:17" x14ac:dyDescent="0.25">
      <c r="A4" s="89" t="s">
        <v>21</v>
      </c>
      <c r="B4" s="89" t="s">
        <v>21</v>
      </c>
      <c r="C4" s="89" t="str">
        <f>IF(ISNUMBER($E4)=TRUE,"Yes","")</f>
        <v>Yes</v>
      </c>
      <c r="D4" s="89">
        <f t="shared" ref="D4:D55" si="0">Input_ProjectNumber</f>
        <v>0</v>
      </c>
      <c r="E4" s="95">
        <v>202830</v>
      </c>
      <c r="F4" s="89" t="str">
        <f>IF($C4="Yes","Yes","")</f>
        <v>Yes</v>
      </c>
      <c r="G4" s="93"/>
      <c r="H4" s="89">
        <f>IF(ISNUMBER($E4)=TRUE,Custom!G3,"")</f>
        <v>0</v>
      </c>
      <c r="I4" s="89">
        <f>IF(ISNUMBER($E4)=TRUE,Custom!G2,"")</f>
        <v>0</v>
      </c>
      <c r="J4" s="90">
        <f>IF(ISNUMBER($E4)=TRUE,Summary!D11,"")</f>
        <v>0</v>
      </c>
      <c r="K4" s="89">
        <f>IF(ISNUMBER($E4)=TRUE,Summary!C11,"")</f>
        <v>0</v>
      </c>
      <c r="L4" s="91"/>
      <c r="M4" s="91"/>
      <c r="N4" s="94"/>
      <c r="O4" s="91"/>
      <c r="P4" s="92" t="str">
        <f t="shared" ref="P4:P35" si="1">IF(ISNUMBER($E4)=TRUE,Value_CalcVersion,"")</f>
        <v>Non-Lighting 2025 - v5.0</v>
      </c>
      <c r="Q4" s="91" t="str">
        <f>IF(ISNUMBER($E4)=TRUE,VLOOKUP($E$4,Table_CustomMeasureNames,2,FALSE),"")</f>
        <v>202830-HVAC-HVAC Controls / EMS Replacing Existing Equipment</v>
      </c>
    </row>
    <row r="5" spans="1:17" x14ac:dyDescent="0.25">
      <c r="A5" s="22" t="s">
        <v>392</v>
      </c>
      <c r="B5" s="22" t="s">
        <v>32</v>
      </c>
      <c r="C5" s="22" t="str">
        <f t="shared" ref="C5:C35" si="2">IF(ISNUMBER($E5)=TRUE,"Yes","")</f>
        <v/>
      </c>
      <c r="D5" s="22">
        <f t="shared" ref="D5:D40" si="3">Input_ProjectNumber</f>
        <v>0</v>
      </c>
      <c r="E5" s="22" t="str">
        <f>HVAC!B3</f>
        <v/>
      </c>
      <c r="F5" s="22" t="str">
        <f>IF(ISNUMBER($E5)=TRUE,"Yes","")</f>
        <v/>
      </c>
      <c r="G5" s="22" t="str">
        <f>IF(ISNUMBER($E5)=TRUE,HVAC!$I3,"")</f>
        <v/>
      </c>
      <c r="H5" s="22" t="str">
        <f>IF(ISNUMBER($E5)=TRUE,HVAC!$N3,"")</f>
        <v/>
      </c>
      <c r="I5" s="22" t="str">
        <f>IF(ISNUMBER($E5)=TRUE,HVAC!$P3,"")</f>
        <v/>
      </c>
      <c r="J5" s="23" t="str">
        <f>IF(ISNUMBER($E5)=TRUE,IF(AND(Subtotal_Incentive&gt;Value_Max_Incentive,Total_ProjectCost&gt;Value_Max_Incentive),Value_Max_Incentive*(HVAC!M3/Subtotal_Incentive),IF(AND(Subtotal_Incentive&gt;Total_ProjectCost,Total_ProjectCost&lt;Value_Max_Incentive),Total_ProjectCost*(HVAC!M3/Subtotal_Incentive),HVAC!M3)),"")</f>
        <v/>
      </c>
      <c r="K5" s="22" t="str">
        <f>IF(ISNUMBER($E5)=TRUE,HVAC!$J3,"")</f>
        <v/>
      </c>
      <c r="L5" s="24"/>
      <c r="M5" s="24"/>
      <c r="N5" s="24"/>
      <c r="O5" s="24"/>
      <c r="P5" s="88" t="str">
        <f t="shared" si="1"/>
        <v/>
      </c>
      <c r="Q5" s="24" t="str">
        <f>IF(ISNUMBER($E5)=TRUE,HVAC!$D3,"")</f>
        <v/>
      </c>
    </row>
    <row r="6" spans="1:17" x14ac:dyDescent="0.25">
      <c r="A6" s="22" t="s">
        <v>392</v>
      </c>
      <c r="B6" s="22" t="s">
        <v>32</v>
      </c>
      <c r="C6" s="22" t="str">
        <f t="shared" si="2"/>
        <v/>
      </c>
      <c r="D6" s="22">
        <f t="shared" si="3"/>
        <v>0</v>
      </c>
      <c r="E6" s="22" t="str">
        <f>HVAC!B4</f>
        <v/>
      </c>
      <c r="F6" s="22" t="str">
        <f t="shared" ref="F6:F12" si="4">IF(ISNUMBER($E6)=TRUE,"Yes","")</f>
        <v/>
      </c>
      <c r="G6" s="22" t="str">
        <f>IF(ISNUMBER($E6)=TRUE,HVAC!$I4,"")</f>
        <v/>
      </c>
      <c r="H6" s="22" t="str">
        <f>IF(ISNUMBER($E6)=TRUE,HVAC!$N4,"")</f>
        <v/>
      </c>
      <c r="I6" s="22" t="str">
        <f>IF(ISNUMBER($E6)=TRUE,HVAC!$P4,"")</f>
        <v/>
      </c>
      <c r="J6" s="23" t="str">
        <f>IF(ISNUMBER($E6)=TRUE,IF(AND(Subtotal_Incentive&gt;Value_Max_Incentive,Total_ProjectCost&gt;Value_Max_Incentive),Value_Max_Incentive*(HVAC!M4/Subtotal_Incentive),IF(AND(Subtotal_Incentive&gt;Total_ProjectCost,Total_ProjectCost&lt;Value_Max_Incentive),Total_ProjectCost*(HVAC!M4/Subtotal_Incentive),HVAC!M4)),"")</f>
        <v/>
      </c>
      <c r="K6" s="22" t="str">
        <f>IF(ISNUMBER($E6)=TRUE,HVAC!$J4,"")</f>
        <v/>
      </c>
      <c r="L6" s="24"/>
      <c r="M6" s="24"/>
      <c r="N6" s="24"/>
      <c r="O6" s="24"/>
      <c r="P6" s="88" t="str">
        <f t="shared" si="1"/>
        <v/>
      </c>
      <c r="Q6" s="24" t="str">
        <f>IF(ISNUMBER($E6)=TRUE,HVAC!$D4,"")</f>
        <v/>
      </c>
    </row>
    <row r="7" spans="1:17" x14ac:dyDescent="0.25">
      <c r="A7" s="22" t="s">
        <v>392</v>
      </c>
      <c r="B7" s="22" t="s">
        <v>32</v>
      </c>
      <c r="C7" s="22" t="str">
        <f t="shared" si="2"/>
        <v/>
      </c>
      <c r="D7" s="22">
        <f t="shared" si="3"/>
        <v>0</v>
      </c>
      <c r="E7" s="22" t="str">
        <f>HVAC!B5</f>
        <v/>
      </c>
      <c r="F7" s="22" t="str">
        <f t="shared" si="4"/>
        <v/>
      </c>
      <c r="G7" s="22" t="str">
        <f>IF(ISNUMBER($E7)=TRUE,HVAC!$I5,"")</f>
        <v/>
      </c>
      <c r="H7" s="22" t="str">
        <f>IF(ISNUMBER($E7)=TRUE,HVAC!$N5,"")</f>
        <v/>
      </c>
      <c r="I7" s="22" t="str">
        <f>IF(ISNUMBER($E7)=TRUE,HVAC!$P5,"")</f>
        <v/>
      </c>
      <c r="J7" s="23" t="str">
        <f>IF(ISNUMBER($E7)=TRUE,IF(AND(Subtotal_Incentive&gt;Value_Max_Incentive,Total_ProjectCost&gt;Value_Max_Incentive),Value_Max_Incentive*(HVAC!M5/Subtotal_Incentive),IF(AND(Subtotal_Incentive&gt;Total_ProjectCost,Total_ProjectCost&lt;Value_Max_Incentive),Total_ProjectCost*(HVAC!M5/Subtotal_Incentive),HVAC!M5)),"")</f>
        <v/>
      </c>
      <c r="K7" s="22" t="str">
        <f>IF(ISNUMBER($E7)=TRUE,HVAC!$J5,"")</f>
        <v/>
      </c>
      <c r="L7" s="24"/>
      <c r="M7" s="24"/>
      <c r="N7" s="24"/>
      <c r="O7" s="24"/>
      <c r="P7" s="88" t="str">
        <f t="shared" si="1"/>
        <v/>
      </c>
      <c r="Q7" s="24" t="str">
        <f>IF(ISNUMBER($E7)=TRUE,HVAC!$D5,"")</f>
        <v/>
      </c>
    </row>
    <row r="8" spans="1:17" x14ac:dyDescent="0.25">
      <c r="A8" s="22" t="s">
        <v>392</v>
      </c>
      <c r="B8" s="22" t="s">
        <v>32</v>
      </c>
      <c r="C8" s="22" t="str">
        <f t="shared" si="2"/>
        <v/>
      </c>
      <c r="D8" s="22">
        <f t="shared" si="3"/>
        <v>0</v>
      </c>
      <c r="E8" s="22" t="str">
        <f>HVAC!B6</f>
        <v/>
      </c>
      <c r="F8" s="22" t="str">
        <f t="shared" si="4"/>
        <v/>
      </c>
      <c r="G8" s="22" t="str">
        <f>IF(ISNUMBER($E8)=TRUE,HVAC!$I6,"")</f>
        <v/>
      </c>
      <c r="H8" s="22" t="str">
        <f>IF(ISNUMBER($E8)=TRUE,HVAC!$N6,"")</f>
        <v/>
      </c>
      <c r="I8" s="22" t="str">
        <f>IF(ISNUMBER($E8)=TRUE,HVAC!$P6,"")</f>
        <v/>
      </c>
      <c r="J8" s="23" t="str">
        <f>IF(ISNUMBER($E8)=TRUE,IF(AND(Subtotal_Incentive&gt;Value_Max_Incentive,Total_ProjectCost&gt;Value_Max_Incentive),Value_Max_Incentive*(HVAC!M6/Subtotal_Incentive),IF(AND(Subtotal_Incentive&gt;Total_ProjectCost,Total_ProjectCost&lt;Value_Max_Incentive),Total_ProjectCost*(HVAC!M6/Subtotal_Incentive),HVAC!M6)),"")</f>
        <v/>
      </c>
      <c r="K8" s="22" t="str">
        <f>IF(ISNUMBER($E8)=TRUE,HVAC!$J6,"")</f>
        <v/>
      </c>
      <c r="L8" s="24"/>
      <c r="M8" s="24"/>
      <c r="N8" s="24"/>
      <c r="O8" s="24"/>
      <c r="P8" s="88" t="str">
        <f t="shared" si="1"/>
        <v/>
      </c>
      <c r="Q8" s="24" t="str">
        <f>IF(ISNUMBER($E8)=TRUE,HVAC!$D6,"")</f>
        <v/>
      </c>
    </row>
    <row r="9" spans="1:17" x14ac:dyDescent="0.25">
      <c r="A9" s="22" t="s">
        <v>392</v>
      </c>
      <c r="B9" s="22" t="s">
        <v>32</v>
      </c>
      <c r="C9" s="22" t="str">
        <f t="shared" si="2"/>
        <v/>
      </c>
      <c r="D9" s="22">
        <f t="shared" si="3"/>
        <v>0</v>
      </c>
      <c r="E9" s="22" t="str">
        <f>HVAC!B7</f>
        <v/>
      </c>
      <c r="F9" s="22" t="str">
        <f t="shared" si="4"/>
        <v/>
      </c>
      <c r="G9" s="22" t="str">
        <f>IF(ISNUMBER($E9)=TRUE,HVAC!$I7,"")</f>
        <v/>
      </c>
      <c r="H9" s="22" t="str">
        <f>IF(ISNUMBER($E9)=TRUE,HVAC!$N7,"")</f>
        <v/>
      </c>
      <c r="I9" s="22" t="str">
        <f>IF(ISNUMBER($E9)=TRUE,HVAC!$P7,"")</f>
        <v/>
      </c>
      <c r="J9" s="23" t="str">
        <f>IF(ISNUMBER($E9)=TRUE,IF(AND(Subtotal_Incentive&gt;Value_Max_Incentive,Total_ProjectCost&gt;Value_Max_Incentive),Value_Max_Incentive*(HVAC!M7/Subtotal_Incentive),IF(AND(Subtotal_Incentive&gt;Total_ProjectCost,Total_ProjectCost&lt;Value_Max_Incentive),Total_ProjectCost*(HVAC!M7/Subtotal_Incentive),HVAC!M7)),"")</f>
        <v/>
      </c>
      <c r="K9" s="22" t="str">
        <f>IF(ISNUMBER($E9)=TRUE,HVAC!$J7,"")</f>
        <v/>
      </c>
      <c r="L9" s="24"/>
      <c r="M9" s="24"/>
      <c r="N9" s="24"/>
      <c r="O9" s="24"/>
      <c r="P9" s="88" t="str">
        <f t="shared" si="1"/>
        <v/>
      </c>
      <c r="Q9" s="24" t="str">
        <f>IF(ISNUMBER($E9)=TRUE,HVAC!$D7,"")</f>
        <v/>
      </c>
    </row>
    <row r="10" spans="1:17" x14ac:dyDescent="0.25">
      <c r="A10" s="22" t="s">
        <v>392</v>
      </c>
      <c r="B10" s="22" t="s">
        <v>32</v>
      </c>
      <c r="C10" s="22" t="str">
        <f t="shared" si="2"/>
        <v/>
      </c>
      <c r="D10" s="22">
        <f t="shared" si="3"/>
        <v>0</v>
      </c>
      <c r="E10" s="22" t="str">
        <f>HVAC!B8</f>
        <v/>
      </c>
      <c r="F10" s="22" t="str">
        <f t="shared" si="4"/>
        <v/>
      </c>
      <c r="G10" s="22" t="str">
        <f>IF(ISNUMBER($E10)=TRUE,HVAC!$I8,"")</f>
        <v/>
      </c>
      <c r="H10" s="22" t="str">
        <f>IF(ISNUMBER($E10)=TRUE,HVAC!$N8,"")</f>
        <v/>
      </c>
      <c r="I10" s="22" t="str">
        <f>IF(ISNUMBER($E10)=TRUE,HVAC!$P8,"")</f>
        <v/>
      </c>
      <c r="J10" s="23" t="str">
        <f>IF(ISNUMBER($E10)=TRUE,IF(AND(Subtotal_Incentive&gt;Value_Max_Incentive,Total_ProjectCost&gt;Value_Max_Incentive),Value_Max_Incentive*(HVAC!M8/Subtotal_Incentive),IF(AND(Subtotal_Incentive&gt;Total_ProjectCost,Total_ProjectCost&lt;Value_Max_Incentive),Total_ProjectCost*(HVAC!M8/Subtotal_Incentive),HVAC!M8)),"")</f>
        <v/>
      </c>
      <c r="K10" s="22" t="str">
        <f>IF(ISNUMBER($E10)=TRUE,HVAC!$J8,"")</f>
        <v/>
      </c>
      <c r="L10" s="24"/>
      <c r="M10" s="24"/>
      <c r="N10" s="24"/>
      <c r="O10" s="24"/>
      <c r="P10" s="88" t="str">
        <f t="shared" si="1"/>
        <v/>
      </c>
      <c r="Q10" s="24" t="str">
        <f>IF(ISNUMBER($E10)=TRUE,HVAC!$D8,"")</f>
        <v/>
      </c>
    </row>
    <row r="11" spans="1:17" x14ac:dyDescent="0.25">
      <c r="A11" s="22" t="s">
        <v>392</v>
      </c>
      <c r="B11" s="22" t="s">
        <v>32</v>
      </c>
      <c r="C11" s="22" t="str">
        <f t="shared" si="2"/>
        <v/>
      </c>
      <c r="D11" s="22">
        <f t="shared" si="3"/>
        <v>0</v>
      </c>
      <c r="E11" s="22" t="str">
        <f>HVAC!B9</f>
        <v/>
      </c>
      <c r="F11" s="22" t="str">
        <f t="shared" si="4"/>
        <v/>
      </c>
      <c r="G11" s="22" t="str">
        <f>IF(ISNUMBER($E11)=TRUE,HVAC!$I9,"")</f>
        <v/>
      </c>
      <c r="H11" s="22" t="str">
        <f>IF(ISNUMBER($E11)=TRUE,HVAC!$N9,"")</f>
        <v/>
      </c>
      <c r="I11" s="22" t="str">
        <f>IF(ISNUMBER($E11)=TRUE,HVAC!$P9,"")</f>
        <v/>
      </c>
      <c r="J11" s="23" t="str">
        <f>IF(ISNUMBER($E11)=TRUE,IF(AND(Subtotal_Incentive&gt;Value_Max_Incentive,Total_ProjectCost&gt;Value_Max_Incentive),Value_Max_Incentive*(HVAC!M9/Subtotal_Incentive),IF(AND(Subtotal_Incentive&gt;Total_ProjectCost,Total_ProjectCost&lt;Value_Max_Incentive),Total_ProjectCost*(HVAC!M9/Subtotal_Incentive),HVAC!M9)),"")</f>
        <v/>
      </c>
      <c r="K11" s="22" t="str">
        <f>IF(ISNUMBER($E11)=TRUE,HVAC!$J9,"")</f>
        <v/>
      </c>
      <c r="L11" s="24"/>
      <c r="M11" s="24"/>
      <c r="N11" s="24"/>
      <c r="O11" s="24"/>
      <c r="P11" s="88" t="str">
        <f t="shared" si="1"/>
        <v/>
      </c>
      <c r="Q11" s="24" t="str">
        <f>IF(ISNUMBER($E11)=TRUE,HVAC!$D9,"")</f>
        <v/>
      </c>
    </row>
    <row r="12" spans="1:17" x14ac:dyDescent="0.25">
      <c r="A12" s="22" t="s">
        <v>392</v>
      </c>
      <c r="B12" s="22" t="s">
        <v>32</v>
      </c>
      <c r="C12" s="22" t="str">
        <f t="shared" si="2"/>
        <v/>
      </c>
      <c r="D12" s="22">
        <f t="shared" si="3"/>
        <v>0</v>
      </c>
      <c r="E12" s="22" t="str">
        <f>HVAC!B10</f>
        <v/>
      </c>
      <c r="F12" s="22" t="str">
        <f t="shared" si="4"/>
        <v/>
      </c>
      <c r="G12" s="22" t="str">
        <f>IF(ISNUMBER($E12)=TRUE,HVAC!$I10,"")</f>
        <v/>
      </c>
      <c r="H12" s="22" t="str">
        <f>IF(ISNUMBER($E12)=TRUE,HVAC!$N10,"")</f>
        <v/>
      </c>
      <c r="I12" s="22" t="str">
        <f>IF(ISNUMBER($E12)=TRUE,HVAC!$P10,"")</f>
        <v/>
      </c>
      <c r="J12" s="23" t="str">
        <f>IF(ISNUMBER($E12)=TRUE,IF(AND(Subtotal_Incentive&gt;Value_Max_Incentive,Total_ProjectCost&gt;Value_Max_Incentive),Value_Max_Incentive*(HVAC!M10/Subtotal_Incentive),IF(AND(Subtotal_Incentive&gt;Total_ProjectCost,Total_ProjectCost&lt;Value_Max_Incentive),Total_ProjectCost*(HVAC!M10/Subtotal_Incentive),HVAC!M10)),"")</f>
        <v/>
      </c>
      <c r="K12" s="22" t="str">
        <f>IF(ISNUMBER($E12)=TRUE,HVAC!$J10,"")</f>
        <v/>
      </c>
      <c r="L12" s="24"/>
      <c r="M12" s="24"/>
      <c r="N12" s="24"/>
      <c r="O12" s="24"/>
      <c r="P12" s="88" t="str">
        <f t="shared" si="1"/>
        <v/>
      </c>
      <c r="Q12" s="24" t="str">
        <f>IF(ISNUMBER($E12)=TRUE,HVAC!$D10,"")</f>
        <v/>
      </c>
    </row>
    <row r="13" spans="1:17" x14ac:dyDescent="0.25">
      <c r="A13" s="89" t="s">
        <v>393</v>
      </c>
      <c r="B13" s="89" t="s">
        <v>32</v>
      </c>
      <c r="C13" s="89" t="str">
        <f t="shared" si="2"/>
        <v/>
      </c>
      <c r="D13" s="89">
        <f t="shared" si="3"/>
        <v>0</v>
      </c>
      <c r="E13" s="89" t="str">
        <f>HVAC!B12</f>
        <v/>
      </c>
      <c r="F13" s="89" t="str">
        <f t="shared" ref="F13:F23" si="5">IF(ISNUMBER($E13)=TRUE,"Yes","")</f>
        <v/>
      </c>
      <c r="G13" s="89" t="str">
        <f>IF(ISNUMBER($E13)=TRUE,HVAC!$I12,"")</f>
        <v/>
      </c>
      <c r="H13" s="89" t="str">
        <f>IF(ISNUMBER($E13)=TRUE,HVAC!$N12,"")</f>
        <v/>
      </c>
      <c r="I13" s="89" t="str">
        <f>IF(ISNUMBER($E13)=TRUE,HVAC!$P12,"")</f>
        <v/>
      </c>
      <c r="J13" s="90" t="str">
        <f>IF(ISNUMBER($E13)=TRUE,IF(AND(Subtotal_Incentive&gt;Value_Max_Incentive,Total_ProjectCost&gt;Value_Max_Incentive),Value_Max_Incentive*(HVAC!M12/Subtotal_Incentive),IF(AND(Subtotal_Incentive&gt;Total_ProjectCost,Total_ProjectCost&lt;Value_Max_Incentive),Total_ProjectCost*(HVAC!M12/Subtotal_Incentive),HVAC!M12)),"")</f>
        <v/>
      </c>
      <c r="K13" s="89" t="str">
        <f>IF(ISNUMBER($E13)=TRUE,HVAC!$J12,"")</f>
        <v/>
      </c>
      <c r="L13" s="91"/>
      <c r="M13" s="91"/>
      <c r="N13" s="91"/>
      <c r="O13" s="91"/>
      <c r="P13" s="92" t="str">
        <f t="shared" si="1"/>
        <v/>
      </c>
      <c r="Q13" s="91" t="str">
        <f>IF(ISNUMBER($E13)=TRUE,HVAC!$D12,"")</f>
        <v/>
      </c>
    </row>
    <row r="14" spans="1:17" x14ac:dyDescent="0.25">
      <c r="A14" s="89" t="s">
        <v>393</v>
      </c>
      <c r="B14" s="89" t="s">
        <v>32</v>
      </c>
      <c r="C14" s="89" t="str">
        <f t="shared" si="2"/>
        <v/>
      </c>
      <c r="D14" s="89">
        <f t="shared" si="3"/>
        <v>0</v>
      </c>
      <c r="E14" s="89" t="str">
        <f>HVAC!B13</f>
        <v/>
      </c>
      <c r="F14" s="89" t="str">
        <f t="shared" si="5"/>
        <v/>
      </c>
      <c r="G14" s="89" t="str">
        <f>IF(ISNUMBER($E14)=TRUE,HVAC!$I13,"")</f>
        <v/>
      </c>
      <c r="H14" s="89" t="str">
        <f>IF(ISNUMBER($E14)=TRUE,HVAC!$N13,"")</f>
        <v/>
      </c>
      <c r="I14" s="89" t="str">
        <f>IF(ISNUMBER($E14)=TRUE,HVAC!$P13,"")</f>
        <v/>
      </c>
      <c r="J14" s="90" t="str">
        <f>IF(ISNUMBER($E14)=TRUE,IF(AND(Subtotal_Incentive&gt;Value_Max_Incentive,Total_ProjectCost&gt;Value_Max_Incentive),Value_Max_Incentive*(HVAC!M13/Subtotal_Incentive),IF(AND(Subtotal_Incentive&gt;Total_ProjectCost,Total_ProjectCost&lt;Value_Max_Incentive),Total_ProjectCost*(HVAC!M13/Subtotal_Incentive),HVAC!M13)),"")</f>
        <v/>
      </c>
      <c r="K14" s="89" t="str">
        <f>IF(ISNUMBER($E14)=TRUE,HVAC!$J13,"")</f>
        <v/>
      </c>
      <c r="L14" s="91"/>
      <c r="M14" s="91"/>
      <c r="N14" s="91"/>
      <c r="O14" s="91"/>
      <c r="P14" s="92" t="str">
        <f t="shared" si="1"/>
        <v/>
      </c>
      <c r="Q14" s="91" t="str">
        <f>IF(ISNUMBER($E14)=TRUE,HVAC!$D13,"")</f>
        <v/>
      </c>
    </row>
    <row r="15" spans="1:17" x14ac:dyDescent="0.25">
      <c r="A15" s="89" t="s">
        <v>393</v>
      </c>
      <c r="B15" s="89" t="s">
        <v>32</v>
      </c>
      <c r="C15" s="89" t="str">
        <f t="shared" si="2"/>
        <v/>
      </c>
      <c r="D15" s="89">
        <f t="shared" si="3"/>
        <v>0</v>
      </c>
      <c r="E15" s="89" t="str">
        <f>HVAC!B14</f>
        <v/>
      </c>
      <c r="F15" s="89" t="str">
        <f t="shared" si="5"/>
        <v/>
      </c>
      <c r="G15" s="89" t="str">
        <f>IF(ISNUMBER($E15)=TRUE,HVAC!$I14,"")</f>
        <v/>
      </c>
      <c r="H15" s="89" t="str">
        <f>IF(ISNUMBER($E15)=TRUE,HVAC!$N14,"")</f>
        <v/>
      </c>
      <c r="I15" s="89" t="str">
        <f>IF(ISNUMBER($E15)=TRUE,HVAC!$P14,"")</f>
        <v/>
      </c>
      <c r="J15" s="90" t="str">
        <f>IF(ISNUMBER($E15)=TRUE,IF(AND(Subtotal_Incentive&gt;Value_Max_Incentive,Total_ProjectCost&gt;Value_Max_Incentive),Value_Max_Incentive*(HVAC!M14/Subtotal_Incentive),IF(AND(Subtotal_Incentive&gt;Total_ProjectCost,Total_ProjectCost&lt;Value_Max_Incentive),Total_ProjectCost*(HVAC!M14/Subtotal_Incentive),HVAC!M14)),"")</f>
        <v/>
      </c>
      <c r="K15" s="89" t="str">
        <f>IF(ISNUMBER($E15)=TRUE,HVAC!$J14,"")</f>
        <v/>
      </c>
      <c r="L15" s="91"/>
      <c r="M15" s="91"/>
      <c r="N15" s="91"/>
      <c r="O15" s="91"/>
      <c r="P15" s="92" t="str">
        <f t="shared" si="1"/>
        <v/>
      </c>
      <c r="Q15" s="91" t="str">
        <f>IF(ISNUMBER($E15)=TRUE,HVAC!$D14,"")</f>
        <v/>
      </c>
    </row>
    <row r="16" spans="1:17" x14ac:dyDescent="0.25">
      <c r="A16" s="89" t="s">
        <v>393</v>
      </c>
      <c r="B16" s="89" t="s">
        <v>32</v>
      </c>
      <c r="C16" s="89" t="str">
        <f t="shared" si="2"/>
        <v/>
      </c>
      <c r="D16" s="89">
        <f t="shared" si="3"/>
        <v>0</v>
      </c>
      <c r="E16" s="89" t="str">
        <f>HVAC!B15</f>
        <v/>
      </c>
      <c r="F16" s="89" t="str">
        <f t="shared" si="5"/>
        <v/>
      </c>
      <c r="G16" s="89" t="str">
        <f>IF(ISNUMBER($E16)=TRUE,HVAC!$I15,"")</f>
        <v/>
      </c>
      <c r="H16" s="89" t="str">
        <f>IF(ISNUMBER($E16)=TRUE,HVAC!$N15,"")</f>
        <v/>
      </c>
      <c r="I16" s="89" t="str">
        <f>IF(ISNUMBER($E16)=TRUE,HVAC!$P15,"")</f>
        <v/>
      </c>
      <c r="J16" s="90" t="str">
        <f>IF(ISNUMBER($E16)=TRUE,IF(AND(Subtotal_Incentive&gt;Value_Max_Incentive,Total_ProjectCost&gt;Value_Max_Incentive),Value_Max_Incentive*(HVAC!M15/Subtotal_Incentive),IF(AND(Subtotal_Incentive&gt;Total_ProjectCost,Total_ProjectCost&lt;Value_Max_Incentive),Total_ProjectCost*(HVAC!M15/Subtotal_Incentive),HVAC!M15)),"")</f>
        <v/>
      </c>
      <c r="K16" s="89" t="str">
        <f>IF(ISNUMBER($E16)=TRUE,HVAC!$J15,"")</f>
        <v/>
      </c>
      <c r="L16" s="91"/>
      <c r="M16" s="91"/>
      <c r="N16" s="91"/>
      <c r="O16" s="91"/>
      <c r="P16" s="92" t="str">
        <f t="shared" si="1"/>
        <v/>
      </c>
      <c r="Q16" s="91" t="str">
        <f>IF(ISNUMBER($E16)=TRUE,HVAC!$D15,"")</f>
        <v/>
      </c>
    </row>
    <row r="17" spans="1:17" x14ac:dyDescent="0.25">
      <c r="A17" s="89" t="s">
        <v>393</v>
      </c>
      <c r="B17" s="89" t="s">
        <v>32</v>
      </c>
      <c r="C17" s="89" t="str">
        <f t="shared" si="2"/>
        <v/>
      </c>
      <c r="D17" s="89">
        <f t="shared" si="3"/>
        <v>0</v>
      </c>
      <c r="E17" s="89" t="str">
        <f>HVAC!B16</f>
        <v/>
      </c>
      <c r="F17" s="89" t="str">
        <f t="shared" si="5"/>
        <v/>
      </c>
      <c r="G17" s="89" t="str">
        <f>IF(ISNUMBER($E17)=TRUE,HVAC!$I16,"")</f>
        <v/>
      </c>
      <c r="H17" s="89" t="str">
        <f>IF(ISNUMBER($E17)=TRUE,HVAC!$N16,"")</f>
        <v/>
      </c>
      <c r="I17" s="89" t="str">
        <f>IF(ISNUMBER($E17)=TRUE,HVAC!$P16,"")</f>
        <v/>
      </c>
      <c r="J17" s="90" t="str">
        <f>IF(ISNUMBER($E17)=TRUE,IF(AND(Subtotal_Incentive&gt;Value_Max_Incentive,Total_ProjectCost&gt;Value_Max_Incentive),Value_Max_Incentive*(HVAC!M16/Subtotal_Incentive),IF(AND(Subtotal_Incentive&gt;Total_ProjectCost,Total_ProjectCost&lt;Value_Max_Incentive),Total_ProjectCost*(HVAC!M16/Subtotal_Incentive),HVAC!M16)),"")</f>
        <v/>
      </c>
      <c r="K17" s="89" t="str">
        <f>IF(ISNUMBER($E17)=TRUE,HVAC!$J16,"")</f>
        <v/>
      </c>
      <c r="L17" s="91"/>
      <c r="M17" s="91"/>
      <c r="N17" s="91"/>
      <c r="O17" s="91"/>
      <c r="P17" s="92" t="str">
        <f t="shared" si="1"/>
        <v/>
      </c>
      <c r="Q17" s="91" t="str">
        <f>IF(ISNUMBER($E17)=TRUE,HVAC!$D16,"")</f>
        <v/>
      </c>
    </row>
    <row r="18" spans="1:17" x14ac:dyDescent="0.25">
      <c r="A18" s="89" t="s">
        <v>393</v>
      </c>
      <c r="B18" s="89" t="s">
        <v>32</v>
      </c>
      <c r="C18" s="89" t="str">
        <f t="shared" si="2"/>
        <v/>
      </c>
      <c r="D18" s="89">
        <f t="shared" si="3"/>
        <v>0</v>
      </c>
      <c r="E18" s="89" t="str">
        <f>HVAC!B17</f>
        <v/>
      </c>
      <c r="F18" s="89" t="str">
        <f t="shared" si="5"/>
        <v/>
      </c>
      <c r="G18" s="89" t="str">
        <f>IF(ISNUMBER($E18)=TRUE,HVAC!$I17,"")</f>
        <v/>
      </c>
      <c r="H18" s="89" t="str">
        <f>IF(ISNUMBER($E18)=TRUE,HVAC!$N17,"")</f>
        <v/>
      </c>
      <c r="I18" s="89" t="str">
        <f>IF(ISNUMBER($E18)=TRUE,HVAC!$P17,"")</f>
        <v/>
      </c>
      <c r="J18" s="90" t="str">
        <f>IF(ISNUMBER($E18)=TRUE,IF(AND(Subtotal_Incentive&gt;Value_Max_Incentive,Total_ProjectCost&gt;Value_Max_Incentive),Value_Max_Incentive*(HVAC!M17/Subtotal_Incentive),IF(AND(Subtotal_Incentive&gt;Total_ProjectCost,Total_ProjectCost&lt;Value_Max_Incentive),Total_ProjectCost*(HVAC!M17/Subtotal_Incentive),HVAC!M17)),"")</f>
        <v/>
      </c>
      <c r="K18" s="89" t="str">
        <f>IF(ISNUMBER($E18)=TRUE,HVAC!$J17,"")</f>
        <v/>
      </c>
      <c r="L18" s="91"/>
      <c r="M18" s="91"/>
      <c r="N18" s="91"/>
      <c r="O18" s="91"/>
      <c r="P18" s="92" t="str">
        <f t="shared" si="1"/>
        <v/>
      </c>
      <c r="Q18" s="91" t="str">
        <f>IF(ISNUMBER($E18)=TRUE,HVAC!$D17,"")</f>
        <v/>
      </c>
    </row>
    <row r="19" spans="1:17" x14ac:dyDescent="0.25">
      <c r="A19" s="89" t="s">
        <v>393</v>
      </c>
      <c r="B19" s="89" t="s">
        <v>32</v>
      </c>
      <c r="C19" s="89" t="str">
        <f t="shared" si="2"/>
        <v/>
      </c>
      <c r="D19" s="89">
        <f t="shared" si="3"/>
        <v>0</v>
      </c>
      <c r="E19" s="89" t="str">
        <f>HVAC!B18</f>
        <v/>
      </c>
      <c r="F19" s="89" t="str">
        <f t="shared" si="5"/>
        <v/>
      </c>
      <c r="G19" s="89" t="str">
        <f>IF(ISNUMBER($E19)=TRUE,HVAC!$I18,"")</f>
        <v/>
      </c>
      <c r="H19" s="89" t="str">
        <f>IF(ISNUMBER($E19)=TRUE,HVAC!$N18,"")</f>
        <v/>
      </c>
      <c r="I19" s="89" t="str">
        <f>IF(ISNUMBER($E19)=TRUE,HVAC!$P18,"")</f>
        <v/>
      </c>
      <c r="J19" s="90" t="str">
        <f>IF(ISNUMBER($E19)=TRUE,IF(AND(Subtotal_Incentive&gt;Value_Max_Incentive,Total_ProjectCost&gt;Value_Max_Incentive),Value_Max_Incentive*(HVAC!M18/Subtotal_Incentive),IF(AND(Subtotal_Incentive&gt;Total_ProjectCost,Total_ProjectCost&lt;Value_Max_Incentive),Total_ProjectCost*(HVAC!M18/Subtotal_Incentive),HVAC!M18)),"")</f>
        <v/>
      </c>
      <c r="K19" s="89" t="str">
        <f>IF(ISNUMBER($E19)=TRUE,HVAC!$J18,"")</f>
        <v/>
      </c>
      <c r="L19" s="91"/>
      <c r="M19" s="91"/>
      <c r="N19" s="91"/>
      <c r="O19" s="91"/>
      <c r="P19" s="92" t="str">
        <f t="shared" si="1"/>
        <v/>
      </c>
      <c r="Q19" s="91" t="str">
        <f>IF(ISNUMBER($E19)=TRUE,HVAC!$D18,"")</f>
        <v/>
      </c>
    </row>
    <row r="20" spans="1:17" x14ac:dyDescent="0.25">
      <c r="A20" s="89" t="s">
        <v>393</v>
      </c>
      <c r="B20" s="89" t="s">
        <v>32</v>
      </c>
      <c r="C20" s="89" t="str">
        <f t="shared" si="2"/>
        <v/>
      </c>
      <c r="D20" s="89">
        <f t="shared" si="3"/>
        <v>0</v>
      </c>
      <c r="E20" s="89" t="str">
        <f>HVAC!B19</f>
        <v/>
      </c>
      <c r="F20" s="89" t="str">
        <f t="shared" si="5"/>
        <v/>
      </c>
      <c r="G20" s="89" t="str">
        <f>IF(ISNUMBER($E20)=TRUE,HVAC!$I19,"")</f>
        <v/>
      </c>
      <c r="H20" s="89" t="str">
        <f>IF(ISNUMBER($E20)=TRUE,HVAC!$N19,"")</f>
        <v/>
      </c>
      <c r="I20" s="89" t="str">
        <f>IF(ISNUMBER($E20)=TRUE,HVAC!$P19,"")</f>
        <v/>
      </c>
      <c r="J20" s="90" t="str">
        <f>IF(ISNUMBER($E20)=TRUE,IF(AND(Subtotal_Incentive&gt;Value_Max_Incentive,Total_ProjectCost&gt;Value_Max_Incentive),Value_Max_Incentive*(HVAC!M19/Subtotal_Incentive),IF(AND(Subtotal_Incentive&gt;Total_ProjectCost,Total_ProjectCost&lt;Value_Max_Incentive),Total_ProjectCost*(HVAC!M19/Subtotal_Incentive),HVAC!M19)),"")</f>
        <v/>
      </c>
      <c r="K20" s="89" t="str">
        <f>IF(ISNUMBER($E20)=TRUE,HVAC!$J19,"")</f>
        <v/>
      </c>
      <c r="L20" s="91"/>
      <c r="M20" s="91"/>
      <c r="N20" s="91"/>
      <c r="O20" s="91"/>
      <c r="P20" s="92" t="str">
        <f t="shared" si="1"/>
        <v/>
      </c>
      <c r="Q20" s="91" t="str">
        <f>IF(ISNUMBER($E20)=TRUE,HVAC!$D19,"")</f>
        <v/>
      </c>
    </row>
    <row r="21" spans="1:17" x14ac:dyDescent="0.25">
      <c r="A21" s="22" t="s">
        <v>394</v>
      </c>
      <c r="B21" s="22" t="s">
        <v>32</v>
      </c>
      <c r="C21" s="22" t="str">
        <f t="shared" si="2"/>
        <v/>
      </c>
      <c r="D21" s="22">
        <f t="shared" si="3"/>
        <v>0</v>
      </c>
      <c r="E21" s="22" t="str">
        <f>HVAC!B21</f>
        <v/>
      </c>
      <c r="F21" s="22" t="str">
        <f t="shared" si="5"/>
        <v/>
      </c>
      <c r="G21" s="22" t="str">
        <f>IF(ISNUMBER($E21)=TRUE,HVAC!$I21,"")</f>
        <v/>
      </c>
      <c r="H21" s="22" t="str">
        <f>IF(ISNUMBER($E21)=TRUE,HVAC!$N21,"")</f>
        <v/>
      </c>
      <c r="I21" s="22" t="str">
        <f>IF(ISNUMBER($E21)=TRUE,HVAC!$P21,"")</f>
        <v/>
      </c>
      <c r="J21" s="23" t="str">
        <f>IF(ISNUMBER($E21)=TRUE,IF(AND(Subtotal_Incentive&gt;Value_Max_Incentive,Total_ProjectCost&gt;Value_Max_Incentive),Value_Max_Incentive*(HVAC!M21/Subtotal_Incentive),IF(AND(Subtotal_Incentive&gt;Total_ProjectCost,Total_ProjectCost&lt;Value_Max_Incentive),Total_ProjectCost*(HVAC!M21/Subtotal_Incentive),HVAC!M21)),"")</f>
        <v/>
      </c>
      <c r="K21" s="22" t="str">
        <f>IF(ISNUMBER($E21)=TRUE,HVAC!$J21,"")</f>
        <v/>
      </c>
      <c r="L21" s="24"/>
      <c r="M21" s="24"/>
      <c r="N21" s="24"/>
      <c r="O21" s="24"/>
      <c r="P21" s="88" t="str">
        <f t="shared" si="1"/>
        <v/>
      </c>
      <c r="Q21" s="24" t="str">
        <f>IF(ISNUMBER($E21)=TRUE,HVAC!$D21,"")</f>
        <v/>
      </c>
    </row>
    <row r="22" spans="1:17" x14ac:dyDescent="0.25">
      <c r="A22" s="22" t="s">
        <v>394</v>
      </c>
      <c r="B22" s="22" t="s">
        <v>32</v>
      </c>
      <c r="C22" s="22" t="str">
        <f t="shared" si="2"/>
        <v/>
      </c>
      <c r="D22" s="22">
        <f t="shared" si="3"/>
        <v>0</v>
      </c>
      <c r="E22" s="22" t="str">
        <f>HVAC!B22</f>
        <v/>
      </c>
      <c r="F22" s="22" t="str">
        <f t="shared" si="5"/>
        <v/>
      </c>
      <c r="G22" s="22" t="str">
        <f>IF(ISNUMBER($E22)=TRUE,HVAC!$I22,"")</f>
        <v/>
      </c>
      <c r="H22" s="22" t="str">
        <f>IF(ISNUMBER($E22)=TRUE,HVAC!$N22,"")</f>
        <v/>
      </c>
      <c r="I22" s="22" t="str">
        <f>IF(ISNUMBER($E22)=TRUE,HVAC!$P22,"")</f>
        <v/>
      </c>
      <c r="J22" s="23" t="str">
        <f>IF(ISNUMBER($E22)=TRUE,IF(AND(Subtotal_Incentive&gt;Value_Max_Incentive,Total_ProjectCost&gt;Value_Max_Incentive),Value_Max_Incentive*(HVAC!M22/Subtotal_Incentive),IF(AND(Subtotal_Incentive&gt;Total_ProjectCost,Total_ProjectCost&lt;Value_Max_Incentive),Total_ProjectCost*(HVAC!M22/Subtotal_Incentive),HVAC!M22)),"")</f>
        <v/>
      </c>
      <c r="K22" s="22" t="str">
        <f>IF(ISNUMBER($E22)=TRUE,HVAC!$J22,"")</f>
        <v/>
      </c>
      <c r="L22" s="24"/>
      <c r="M22" s="24"/>
      <c r="N22" s="24"/>
      <c r="O22" s="24"/>
      <c r="P22" s="88" t="str">
        <f t="shared" si="1"/>
        <v/>
      </c>
      <c r="Q22" s="24" t="str">
        <f>IF(ISNUMBER($E22)=TRUE,HVAC!#REF!,"")</f>
        <v/>
      </c>
    </row>
    <row r="23" spans="1:17" x14ac:dyDescent="0.25">
      <c r="A23" s="89" t="s">
        <v>395</v>
      </c>
      <c r="B23" s="89" t="s">
        <v>32</v>
      </c>
      <c r="C23" s="89" t="str">
        <f t="shared" si="2"/>
        <v/>
      </c>
      <c r="D23" s="89">
        <f t="shared" si="3"/>
        <v>0</v>
      </c>
      <c r="E23" s="89" t="str">
        <f>HVAC!B24</f>
        <v/>
      </c>
      <c r="F23" s="89" t="str">
        <f t="shared" si="5"/>
        <v/>
      </c>
      <c r="G23" s="89" t="str">
        <f>IF(ISNUMBER($E23)=TRUE,HVAC!$I24,"")</f>
        <v/>
      </c>
      <c r="H23" s="89" t="str">
        <f>IF(ISNUMBER($E23)=TRUE,HVAC!$N24,"")</f>
        <v/>
      </c>
      <c r="I23" s="89" t="str">
        <f>IF(ISNUMBER($E23)=TRUE,HVAC!$P24,"")</f>
        <v/>
      </c>
      <c r="J23" s="90" t="str">
        <f>IF(ISNUMBER($E23)=TRUE,IF(AND(Subtotal_Incentive&gt;Value_Max_Incentive,Total_ProjectCost&gt;Value_Max_Incentive),Value_Max_Incentive*(HVAC!M24/Subtotal_Incentive),IF(AND(Subtotal_Incentive&gt;Total_ProjectCost,Total_ProjectCost&lt;Value_Max_Incentive),Total_ProjectCost*(HVAC!M24/Subtotal_Incentive),HVAC!M24)),"")</f>
        <v/>
      </c>
      <c r="K23" s="89" t="str">
        <f>IF(ISNUMBER($E23)=TRUE,HVAC!$J23,"")</f>
        <v/>
      </c>
      <c r="L23" s="91"/>
      <c r="M23" s="91"/>
      <c r="N23" s="91"/>
      <c r="O23" s="91"/>
      <c r="P23" s="92" t="str">
        <f t="shared" si="1"/>
        <v/>
      </c>
      <c r="Q23" s="91" t="str">
        <f>IF(ISNUMBER($E23)=TRUE,HVAC!$D24,"")</f>
        <v/>
      </c>
    </row>
    <row r="24" spans="1:17" x14ac:dyDescent="0.25">
      <c r="A24" s="89" t="s">
        <v>395</v>
      </c>
      <c r="B24" s="89" t="s">
        <v>32</v>
      </c>
      <c r="C24" s="89" t="str">
        <f t="shared" si="2"/>
        <v/>
      </c>
      <c r="D24" s="89">
        <f t="shared" si="3"/>
        <v>0</v>
      </c>
      <c r="E24" s="89" t="str">
        <f>HVAC!B25</f>
        <v/>
      </c>
      <c r="F24" s="89" t="str">
        <f t="shared" ref="F24:F30" si="6">IF(ISNUMBER($E24)=TRUE,"Yes","")</f>
        <v/>
      </c>
      <c r="G24" s="89" t="str">
        <f>IF(ISNUMBER($E24)=TRUE,HVAC!$I25,"")</f>
        <v/>
      </c>
      <c r="H24" s="89" t="str">
        <f>IF(ISNUMBER($E24)=TRUE,HVAC!$N25,"")</f>
        <v/>
      </c>
      <c r="I24" s="89" t="str">
        <f>IF(ISNUMBER($E24)=TRUE,HVAC!$P25,"")</f>
        <v/>
      </c>
      <c r="J24" s="90" t="str">
        <f>IF(ISNUMBER($E24)=TRUE,IF(AND(Subtotal_Incentive&gt;Value_Max_Incentive,Total_ProjectCost&gt;Value_Max_Incentive),Value_Max_Incentive*(HVAC!M25/Subtotal_Incentive),IF(AND(Subtotal_Incentive&gt;Total_ProjectCost,Total_ProjectCost&lt;Value_Max_Incentive),Total_ProjectCost*(HVAC!M25/Subtotal_Incentive),HVAC!M25)),"")</f>
        <v/>
      </c>
      <c r="K24" s="89" t="str">
        <f>IF(ISNUMBER($E24)=TRUE,HVAC!$J25,"")</f>
        <v/>
      </c>
      <c r="L24" s="91"/>
      <c r="M24" s="91"/>
      <c r="N24" s="91"/>
      <c r="O24" s="91"/>
      <c r="P24" s="92" t="str">
        <f t="shared" si="1"/>
        <v/>
      </c>
      <c r="Q24" s="91" t="str">
        <f>IF(ISNUMBER($E24)=TRUE,HVAC!$D25,"")</f>
        <v/>
      </c>
    </row>
    <row r="25" spans="1:17" x14ac:dyDescent="0.25">
      <c r="A25" s="89" t="s">
        <v>395</v>
      </c>
      <c r="B25" s="89" t="s">
        <v>32</v>
      </c>
      <c r="C25" s="89" t="str">
        <f t="shared" si="2"/>
        <v/>
      </c>
      <c r="D25" s="89">
        <f t="shared" si="3"/>
        <v>0</v>
      </c>
      <c r="E25" s="89" t="str">
        <f>HVAC!B26</f>
        <v/>
      </c>
      <c r="F25" s="89" t="str">
        <f t="shared" si="6"/>
        <v/>
      </c>
      <c r="G25" s="89" t="str">
        <f>IF(ISNUMBER($E25)=TRUE,HVAC!$I26,"")</f>
        <v/>
      </c>
      <c r="H25" s="89" t="str">
        <f>IF(ISNUMBER($E25)=TRUE,HVAC!$N26,"")</f>
        <v/>
      </c>
      <c r="I25" s="89" t="str">
        <f>IF(ISNUMBER($E25)=TRUE,HVAC!$P26,"")</f>
        <v/>
      </c>
      <c r="J25" s="90" t="str">
        <f>IF(ISNUMBER($E25)=TRUE,IF(AND(Subtotal_Incentive&gt;Value_Max_Incentive,Total_ProjectCost&gt;Value_Max_Incentive),Value_Max_Incentive*(HVAC!M26/Subtotal_Incentive),IF(AND(Subtotal_Incentive&gt;Total_ProjectCost,Total_ProjectCost&lt;Value_Max_Incentive),Total_ProjectCost*(HVAC!M26/Subtotal_Incentive),HVAC!M26)),"")</f>
        <v/>
      </c>
      <c r="K25" s="89" t="str">
        <f>IF(ISNUMBER($E25)=TRUE,HVAC!$J26,"")</f>
        <v/>
      </c>
      <c r="L25" s="91"/>
      <c r="M25" s="91"/>
      <c r="N25" s="91"/>
      <c r="O25" s="91"/>
      <c r="P25" s="92" t="str">
        <f t="shared" si="1"/>
        <v/>
      </c>
      <c r="Q25" s="91" t="str">
        <f>IF(ISNUMBER($E25)=TRUE,HVAC!$D26,"")</f>
        <v/>
      </c>
    </row>
    <row r="26" spans="1:17" x14ac:dyDescent="0.25">
      <c r="A26" s="89" t="s">
        <v>395</v>
      </c>
      <c r="B26" s="89" t="s">
        <v>32</v>
      </c>
      <c r="C26" s="89" t="str">
        <f t="shared" si="2"/>
        <v/>
      </c>
      <c r="D26" s="89">
        <f t="shared" si="3"/>
        <v>0</v>
      </c>
      <c r="E26" s="89" t="str">
        <f>HVAC!B27</f>
        <v/>
      </c>
      <c r="F26" s="89" t="str">
        <f t="shared" si="6"/>
        <v/>
      </c>
      <c r="G26" s="89" t="str">
        <f>IF(ISNUMBER($E26)=TRUE,HVAC!$I27,"")</f>
        <v/>
      </c>
      <c r="H26" s="89" t="str">
        <f>IF(ISNUMBER($E26)=TRUE,HVAC!$N27,"")</f>
        <v/>
      </c>
      <c r="I26" s="89" t="str">
        <f>IF(ISNUMBER($E26)=TRUE,HVAC!$P27,"")</f>
        <v/>
      </c>
      <c r="J26" s="90" t="str">
        <f>IF(ISNUMBER($E26)=TRUE,IF(AND(Subtotal_Incentive&gt;Value_Max_Incentive,Total_ProjectCost&gt;Value_Max_Incentive),Value_Max_Incentive*(HVAC!M27/Subtotal_Incentive),IF(AND(Subtotal_Incentive&gt;Total_ProjectCost,Total_ProjectCost&lt;Value_Max_Incentive),Total_ProjectCost*(HVAC!M27/Subtotal_Incentive),HVAC!M27)),"")</f>
        <v/>
      </c>
      <c r="K26" s="89" t="str">
        <f>IF(ISNUMBER($E26)=TRUE,HVAC!$J27,"")</f>
        <v/>
      </c>
      <c r="L26" s="91"/>
      <c r="M26" s="91"/>
      <c r="N26" s="91"/>
      <c r="O26" s="91"/>
      <c r="P26" s="92" t="str">
        <f t="shared" si="1"/>
        <v/>
      </c>
      <c r="Q26" s="91" t="str">
        <f>IF(ISNUMBER($E26)=TRUE,HVAC!$D27,"")</f>
        <v/>
      </c>
    </row>
    <row r="27" spans="1:17" x14ac:dyDescent="0.25">
      <c r="A27" s="89" t="s">
        <v>395</v>
      </c>
      <c r="B27" s="89" t="s">
        <v>32</v>
      </c>
      <c r="C27" s="89" t="str">
        <f t="shared" si="2"/>
        <v/>
      </c>
      <c r="D27" s="89">
        <f t="shared" si="3"/>
        <v>0</v>
      </c>
      <c r="E27" s="89" t="str">
        <f>HVAC!B28</f>
        <v/>
      </c>
      <c r="F27" s="89" t="str">
        <f t="shared" si="6"/>
        <v/>
      </c>
      <c r="G27" s="89" t="str">
        <f>IF(ISNUMBER($E27)=TRUE,HVAC!$I28,"")</f>
        <v/>
      </c>
      <c r="H27" s="89" t="str">
        <f>IF(ISNUMBER($E27)=TRUE,HVAC!$N28,"")</f>
        <v/>
      </c>
      <c r="I27" s="89" t="str">
        <f>IF(ISNUMBER($E27)=TRUE,HVAC!$P28,"")</f>
        <v/>
      </c>
      <c r="J27" s="90" t="str">
        <f>IF(ISNUMBER($E27)=TRUE,IF(AND(Subtotal_Incentive&gt;Value_Max_Incentive,Total_ProjectCost&gt;Value_Max_Incentive),Value_Max_Incentive*(HVAC!M28/Subtotal_Incentive),IF(AND(Subtotal_Incentive&gt;Total_ProjectCost,Total_ProjectCost&lt;Value_Max_Incentive),Total_ProjectCost*(HVAC!M28/Subtotal_Incentive),HVAC!M28)),"")</f>
        <v/>
      </c>
      <c r="K27" s="89" t="str">
        <f>IF(ISNUMBER($E27)=TRUE,HVAC!$J28,"")</f>
        <v/>
      </c>
      <c r="L27" s="91"/>
      <c r="M27" s="91"/>
      <c r="N27" s="91"/>
      <c r="O27" s="91"/>
      <c r="P27" s="92" t="str">
        <f t="shared" si="1"/>
        <v/>
      </c>
      <c r="Q27" s="91" t="str">
        <f>IF(ISNUMBER($E27)=TRUE,HVAC!$D28,"")</f>
        <v/>
      </c>
    </row>
    <row r="28" spans="1:17" x14ac:dyDescent="0.25">
      <c r="A28" s="89" t="s">
        <v>395</v>
      </c>
      <c r="B28" s="89" t="s">
        <v>32</v>
      </c>
      <c r="C28" s="89" t="str">
        <f t="shared" si="2"/>
        <v/>
      </c>
      <c r="D28" s="89">
        <f t="shared" si="3"/>
        <v>0</v>
      </c>
      <c r="E28" s="89" t="str">
        <f>HVAC!B29</f>
        <v/>
      </c>
      <c r="F28" s="89" t="str">
        <f t="shared" si="6"/>
        <v/>
      </c>
      <c r="G28" s="89" t="str">
        <f>IF(ISNUMBER($E28)=TRUE,HVAC!$I29,"")</f>
        <v/>
      </c>
      <c r="H28" s="89" t="str">
        <f>IF(ISNUMBER($E28)=TRUE,HVAC!$N29,"")</f>
        <v/>
      </c>
      <c r="I28" s="89" t="str">
        <f>IF(ISNUMBER($E28)=TRUE,HVAC!$P29,"")</f>
        <v/>
      </c>
      <c r="J28" s="90" t="str">
        <f>IF(ISNUMBER($E28)=TRUE,IF(AND(Subtotal_Incentive&gt;Value_Max_Incentive,Total_ProjectCost&gt;Value_Max_Incentive),Value_Max_Incentive*(HVAC!M29/Subtotal_Incentive),IF(AND(Subtotal_Incentive&gt;Total_ProjectCost,Total_ProjectCost&lt;Value_Max_Incentive),Total_ProjectCost*(HVAC!M29/Subtotal_Incentive),HVAC!M29)),"")</f>
        <v/>
      </c>
      <c r="K28" s="89" t="str">
        <f>IF(ISNUMBER($E28)=TRUE,HVAC!$J29,"")</f>
        <v/>
      </c>
      <c r="L28" s="91"/>
      <c r="M28" s="91"/>
      <c r="N28" s="91"/>
      <c r="O28" s="91"/>
      <c r="P28" s="92" t="str">
        <f t="shared" si="1"/>
        <v/>
      </c>
      <c r="Q28" s="91" t="str">
        <f>IF(ISNUMBER($E28)=TRUE,HVAC!$D29,"")</f>
        <v/>
      </c>
    </row>
    <row r="29" spans="1:17" x14ac:dyDescent="0.25">
      <c r="A29" s="89" t="s">
        <v>395</v>
      </c>
      <c r="B29" s="89" t="s">
        <v>32</v>
      </c>
      <c r="C29" s="89" t="str">
        <f t="shared" si="2"/>
        <v/>
      </c>
      <c r="D29" s="89">
        <f t="shared" si="3"/>
        <v>0</v>
      </c>
      <c r="E29" s="89" t="str">
        <f>HVAC!B30</f>
        <v/>
      </c>
      <c r="F29" s="89" t="str">
        <f t="shared" si="6"/>
        <v/>
      </c>
      <c r="G29" s="89" t="str">
        <f>IF(ISNUMBER($E29)=TRUE,HVAC!$I30,"")</f>
        <v/>
      </c>
      <c r="H29" s="89" t="str">
        <f>IF(ISNUMBER($E29)=TRUE,HVAC!$N30,"")</f>
        <v/>
      </c>
      <c r="I29" s="89" t="str">
        <f>IF(ISNUMBER($E29)=TRUE,HVAC!$P30,"")</f>
        <v/>
      </c>
      <c r="J29" s="90" t="str">
        <f>IF(ISNUMBER($E29)=TRUE,IF(AND(Subtotal_Incentive&gt;Value_Max_Incentive,Total_ProjectCost&gt;Value_Max_Incentive),Value_Max_Incentive*(HVAC!M30/Subtotal_Incentive),IF(AND(Subtotal_Incentive&gt;Total_ProjectCost,Total_ProjectCost&lt;Value_Max_Incentive),Total_ProjectCost*(HVAC!M30/Subtotal_Incentive),HVAC!M30)),"")</f>
        <v/>
      </c>
      <c r="K29" s="89" t="str">
        <f>IF(ISNUMBER($E29)=TRUE,HVAC!$J30,"")</f>
        <v/>
      </c>
      <c r="L29" s="91"/>
      <c r="M29" s="91"/>
      <c r="N29" s="91"/>
      <c r="O29" s="91"/>
      <c r="P29" s="92" t="str">
        <f t="shared" si="1"/>
        <v/>
      </c>
      <c r="Q29" s="91" t="str">
        <f>IF(ISNUMBER($E29)=TRUE,HVAC!$D30,"")</f>
        <v/>
      </c>
    </row>
    <row r="30" spans="1:17" x14ac:dyDescent="0.25">
      <c r="A30" s="89" t="s">
        <v>395</v>
      </c>
      <c r="B30" s="89" t="s">
        <v>32</v>
      </c>
      <c r="C30" s="89" t="str">
        <f t="shared" si="2"/>
        <v/>
      </c>
      <c r="D30" s="89">
        <f t="shared" si="3"/>
        <v>0</v>
      </c>
      <c r="E30" s="89" t="str">
        <f>HVAC!B31</f>
        <v/>
      </c>
      <c r="F30" s="89" t="str">
        <f t="shared" si="6"/>
        <v/>
      </c>
      <c r="G30" s="89" t="str">
        <f>IF(ISNUMBER($E30)=TRUE,HVAC!$I31,"")</f>
        <v/>
      </c>
      <c r="H30" s="89" t="str">
        <f>IF(ISNUMBER($E30)=TRUE,HVAC!$N31,"")</f>
        <v/>
      </c>
      <c r="I30" s="89" t="str">
        <f>IF(ISNUMBER($E30)=TRUE,HVAC!$P31,"")</f>
        <v/>
      </c>
      <c r="J30" s="90" t="str">
        <f>IF(ISNUMBER($E30)=TRUE,IF(AND(Subtotal_Incentive&gt;Value_Max_Incentive,Total_ProjectCost&gt;Value_Max_Incentive),Value_Max_Incentive*(HVAC!M31/Subtotal_Incentive),IF(AND(Subtotal_Incentive&gt;Total_ProjectCost,Total_ProjectCost&lt;Value_Max_Incentive),Total_ProjectCost*(HVAC!M31/Subtotal_Incentive),HVAC!M31)),"")</f>
        <v/>
      </c>
      <c r="K30" s="89" t="str">
        <f>IF(ISNUMBER($E30)=TRUE,HVAC!$J31,"")</f>
        <v/>
      </c>
      <c r="L30" s="91"/>
      <c r="M30" s="91"/>
      <c r="N30" s="91"/>
      <c r="O30" s="91"/>
      <c r="P30" s="92" t="str">
        <f t="shared" si="1"/>
        <v/>
      </c>
      <c r="Q30" s="91" t="str">
        <f>IF(ISNUMBER($E30)=TRUE,HVAC!$D31,"")</f>
        <v/>
      </c>
    </row>
    <row r="31" spans="1:17" x14ac:dyDescent="0.25">
      <c r="A31" s="89" t="s">
        <v>395</v>
      </c>
      <c r="B31" s="89" t="s">
        <v>32</v>
      </c>
      <c r="C31" s="89" t="str">
        <f t="shared" si="2"/>
        <v/>
      </c>
      <c r="D31" s="89">
        <f t="shared" si="3"/>
        <v>0</v>
      </c>
      <c r="E31" s="89" t="str">
        <f>HVAC!B32</f>
        <v/>
      </c>
      <c r="F31" s="89" t="str">
        <f>IF(ISNUMBER($E31)=TRUE,"Yes","")</f>
        <v/>
      </c>
      <c r="G31" s="89" t="str">
        <f>IF(ISNUMBER($E31)=TRUE,HVAC!$I32,"")</f>
        <v/>
      </c>
      <c r="H31" s="89" t="str">
        <f>IF(ISNUMBER($E31)=TRUE,HVAC!$N32,"")</f>
        <v/>
      </c>
      <c r="I31" s="89" t="str">
        <f>IF(ISNUMBER($E31)=TRUE,HVAC!$P32,"")</f>
        <v/>
      </c>
      <c r="J31" s="90" t="str">
        <f>IF(ISNUMBER($E31)=TRUE,IF(AND(Subtotal_Incentive&gt;Value_Max_Incentive,Total_ProjectCost&gt;Value_Max_Incentive),Value_Max_Incentive*(HVAC!M32/Subtotal_Incentive),IF(AND(Subtotal_Incentive&gt;Total_ProjectCost,Total_ProjectCost&lt;Value_Max_Incentive),Total_ProjectCost*(HVAC!M32/Subtotal_Incentive),HVAC!M32)),"")</f>
        <v/>
      </c>
      <c r="K31" s="89" t="str">
        <f>IF(ISNUMBER($E31)=TRUE,HVAC!$J32,"")</f>
        <v/>
      </c>
      <c r="L31" s="91"/>
      <c r="M31" s="91"/>
      <c r="N31" s="91"/>
      <c r="O31" s="91"/>
      <c r="P31" s="92" t="str">
        <f t="shared" si="1"/>
        <v/>
      </c>
      <c r="Q31" s="91" t="str">
        <f>IF(ISNUMBER($E31)=TRUE,HVAC!$D32,"")</f>
        <v/>
      </c>
    </row>
    <row r="32" spans="1:17" x14ac:dyDescent="0.25">
      <c r="A32" s="22" t="s">
        <v>177</v>
      </c>
      <c r="B32" s="22" t="s">
        <v>32</v>
      </c>
      <c r="C32" s="22" t="str">
        <f t="shared" si="2"/>
        <v/>
      </c>
      <c r="D32" s="22">
        <f t="shared" si="3"/>
        <v>0</v>
      </c>
      <c r="E32" s="22" t="str">
        <f>HVAC!B34</f>
        <v/>
      </c>
      <c r="F32" s="22" t="str">
        <f>IF(ISNUMBER($E32)=TRUE,"Yes","")</f>
        <v/>
      </c>
      <c r="G32" s="22" t="str">
        <f>IF(ISNUMBER($E32)=TRUE,HVAC!$I34,"")</f>
        <v/>
      </c>
      <c r="H32" s="22" t="str">
        <f>IF(ISNUMBER($E32)=TRUE,HVAC!$N34,"")</f>
        <v/>
      </c>
      <c r="I32" s="22" t="str">
        <f>IF(ISNUMBER($E32)=TRUE,HVAC!$P34,"")</f>
        <v/>
      </c>
      <c r="J32" s="23" t="str">
        <f>IF(ISNUMBER($E32)=TRUE,IF(AND(Subtotal_Incentive&gt;Value_Max_Incentive,Total_ProjectCost&gt;Value_Max_Incentive),Value_Max_Incentive*(HVAC!M34/Subtotal_Incentive),IF(AND(Subtotal_Incentive&gt;Total_ProjectCost,Total_ProjectCost&lt;Value_Max_Incentive),Total_ProjectCost*(HVAC!M34/Subtotal_Incentive),HVAC!M34)),"")</f>
        <v/>
      </c>
      <c r="K32" s="22" t="str">
        <f>IF(ISNUMBER($E32)=TRUE,HVAC!$J34,"")</f>
        <v/>
      </c>
      <c r="L32" s="24"/>
      <c r="M32" s="24"/>
      <c r="N32" s="24"/>
      <c r="O32" s="24"/>
      <c r="P32" s="88" t="str">
        <f t="shared" si="1"/>
        <v/>
      </c>
      <c r="Q32" s="24" t="str">
        <f>IF(ISNUMBER($E32)=TRUE,HVAC!$D34,"")</f>
        <v/>
      </c>
    </row>
    <row r="33" spans="1:17" x14ac:dyDescent="0.25">
      <c r="A33" s="22" t="s">
        <v>177</v>
      </c>
      <c r="B33" s="22" t="s">
        <v>32</v>
      </c>
      <c r="C33" s="22" t="str">
        <f t="shared" si="2"/>
        <v/>
      </c>
      <c r="D33" s="22">
        <f t="shared" si="3"/>
        <v>0</v>
      </c>
      <c r="E33" s="22" t="str">
        <f>HVAC!B44</f>
        <v/>
      </c>
      <c r="F33" s="22" t="str">
        <f>IF(ISNUMBER($E33)=TRUE,"Yes","")</f>
        <v/>
      </c>
      <c r="G33" s="22" t="str">
        <f>IF(ISNUMBER($E33)=TRUE,HVAC!$I44,"")</f>
        <v/>
      </c>
      <c r="H33" s="22" t="str">
        <f>IF(ISNUMBER($E33)=TRUE,HVAC!$N44,"")</f>
        <v/>
      </c>
      <c r="I33" s="22" t="str">
        <f>IF(ISNUMBER($E33)=TRUE,HVAC!$P44,"")</f>
        <v/>
      </c>
      <c r="J33" s="23" t="str">
        <f>IF(ISNUMBER($E33)=TRUE,IF(AND(Subtotal_Incentive&gt;Value_Max_Incentive,Total_ProjectCost&gt;Value_Max_Incentive),Value_Max_Incentive*(HVAC!M44/Subtotal_Incentive),IF(AND(Subtotal_Incentive&gt;Total_ProjectCost,Total_ProjectCost&lt;Value_Max_Incentive),Total_ProjectCost*(HVAC!M44/Subtotal_Incentive),HVAC!M44)),"")</f>
        <v/>
      </c>
      <c r="K33" s="22" t="str">
        <f>IF(ISNUMBER($E33)=TRUE,HVAC!$J44,"")</f>
        <v/>
      </c>
      <c r="L33" s="24"/>
      <c r="M33" s="24"/>
      <c r="N33" s="24"/>
      <c r="O33" s="24"/>
      <c r="P33" s="88" t="str">
        <f t="shared" si="1"/>
        <v/>
      </c>
      <c r="Q33" s="24" t="str">
        <f>IF(ISNUMBER($E33)=TRUE,HVAC!$D44,"")</f>
        <v/>
      </c>
    </row>
    <row r="34" spans="1:17" x14ac:dyDescent="0.25">
      <c r="A34" s="89" t="s">
        <v>177</v>
      </c>
      <c r="B34" s="89" t="s">
        <v>32</v>
      </c>
      <c r="C34" s="89" t="str">
        <f t="shared" si="2"/>
        <v/>
      </c>
      <c r="D34" s="89">
        <f t="shared" si="3"/>
        <v>0</v>
      </c>
      <c r="E34" s="89" t="str">
        <f>HVAC!B48</f>
        <v/>
      </c>
      <c r="F34" s="89" t="str">
        <f>IF(ISNUMBER($E34)=TRUE,"Yes","")</f>
        <v/>
      </c>
      <c r="G34" s="89" t="str">
        <f>IF(ISNUMBER($E34)=TRUE,HVAC!$I48,"")</f>
        <v/>
      </c>
      <c r="H34" s="89" t="str">
        <f>IF(ISNUMBER($E34)=TRUE,HVAC!$N48,"")</f>
        <v/>
      </c>
      <c r="I34" s="89" t="str">
        <f>IF(ISNUMBER($E34)=TRUE,HVAC!$P48,"")</f>
        <v/>
      </c>
      <c r="J34" s="90" t="str">
        <f>IF(ISNUMBER($E34)=TRUE,IF(AND(Subtotal_Incentive&gt;Value_Max_Incentive,Total_ProjectCost&gt;Value_Max_Incentive),Value_Max_Incentive*(HVAC!M48/Subtotal_Incentive),IF(AND(Subtotal_Incentive&gt;Total_ProjectCost,Total_ProjectCost&lt;Value_Max_Incentive),Total_ProjectCost*(HVAC!M48/Subtotal_Incentive),HVAC!M48)),"")</f>
        <v/>
      </c>
      <c r="K34" s="89" t="str">
        <f>IF(ISNUMBER($E34)=TRUE,HVAC!$J48,"")</f>
        <v/>
      </c>
      <c r="L34" s="91"/>
      <c r="M34" s="91"/>
      <c r="N34" s="91"/>
      <c r="O34" s="91"/>
      <c r="P34" s="92" t="str">
        <f t="shared" si="1"/>
        <v/>
      </c>
      <c r="Q34" s="91" t="str">
        <f>IF(ISNUMBER($E34)=TRUE,HVAC!$D48,"")</f>
        <v/>
      </c>
    </row>
    <row r="35" spans="1:17" x14ac:dyDescent="0.25">
      <c r="A35" s="22" t="s">
        <v>135</v>
      </c>
      <c r="B35" s="22" t="s">
        <v>135</v>
      </c>
      <c r="C35" s="22" t="str">
        <f t="shared" si="2"/>
        <v/>
      </c>
      <c r="D35" s="22">
        <f t="shared" si="3"/>
        <v>0</v>
      </c>
      <c r="E35" s="22" t="str">
        <f>Refrigeration!$B3</f>
        <v/>
      </c>
      <c r="F35" s="22" t="str">
        <f>IF(ISNUMBER($E35)=TRUE,"Yes","")</f>
        <v/>
      </c>
      <c r="G35" s="22" t="str">
        <f>IF(ISNUMBER($E35)=TRUE,Refrigeration!$I3,"")</f>
        <v/>
      </c>
      <c r="H35" s="22" t="str">
        <f>IF(ISNUMBER($E35)=TRUE,Refrigeration!$N3,"")</f>
        <v/>
      </c>
      <c r="I35" s="22" t="str">
        <f>IF(ISNUMBER($E35)=TRUE,Refrigeration!$P3,"")</f>
        <v/>
      </c>
      <c r="J35" s="23" t="str">
        <f>IF(ISNUMBER($E35)=TRUE,IF(AND(Subtotal_Incentive&gt;Value_Max_Incentive,Total_ProjectCost&gt;Value_Max_Incentive),Value_Max_Incentive*(Refrigeration!M3/Subtotal_Incentive),IF(AND(Subtotal_Incentive&gt;Total_ProjectCost,Total_ProjectCost&lt;Value_Max_Incentive),Total_ProjectCost*(Refrigeration!M3/Subtotal_Incentive),Refrigeration!M3)),"")</f>
        <v/>
      </c>
      <c r="K35" s="22" t="str">
        <f>IF(ISNUMBER($E35)=TRUE,Refrigeration!$J3,"")</f>
        <v/>
      </c>
      <c r="L35" s="24"/>
      <c r="M35" s="24"/>
      <c r="N35" s="24"/>
      <c r="O35" s="24"/>
      <c r="P35" s="88" t="str">
        <f t="shared" si="1"/>
        <v/>
      </c>
      <c r="Q35" s="24" t="str">
        <f>IF(ISNUMBER($E35)=TRUE,Refrigeration!D3,"")</f>
        <v/>
      </c>
    </row>
    <row r="36" spans="1:17" x14ac:dyDescent="0.25">
      <c r="A36" s="22" t="s">
        <v>135</v>
      </c>
      <c r="B36" s="22" t="s">
        <v>135</v>
      </c>
      <c r="C36" s="22" t="str">
        <f t="shared" ref="C36:C55" si="7">IF(ISNUMBER($E36)=TRUE,"Yes","")</f>
        <v/>
      </c>
      <c r="D36" s="22">
        <f t="shared" si="3"/>
        <v>0</v>
      </c>
      <c r="E36" s="22" t="str">
        <f>Refrigeration!$B4</f>
        <v/>
      </c>
      <c r="F36" s="22" t="str">
        <f t="shared" ref="F36:F40" si="8">IF(ISNUMBER($E36)=TRUE,"Yes","")</f>
        <v/>
      </c>
      <c r="G36" s="22" t="str">
        <f>IF(ISNUMBER($E36)=TRUE,Refrigeration!$I4,"")</f>
        <v/>
      </c>
      <c r="H36" s="22" t="str">
        <f>IF(ISNUMBER($E36)=TRUE,Refrigeration!$N4,"")</f>
        <v/>
      </c>
      <c r="I36" s="22" t="str">
        <f>IF(ISNUMBER($E36)=TRUE,Refrigeration!$P4,"")</f>
        <v/>
      </c>
      <c r="J36" s="23" t="str">
        <f>IF(ISNUMBER($E36)=TRUE,IF(AND(Subtotal_Incentive&gt;Value_Max_Incentive,Total_ProjectCost&gt;Value_Max_Incentive),Value_Max_Incentive*(Refrigeration!M4/Subtotal_Incentive),IF(AND(Subtotal_Incentive&gt;Total_ProjectCost,Total_ProjectCost&lt;Value_Max_Incentive),Total_ProjectCost*(Refrigeration!M4/Subtotal_Incentive),Refrigeration!M4)),"")</f>
        <v/>
      </c>
      <c r="K36" s="22" t="str">
        <f>IF(ISNUMBER($E36)=TRUE,Refrigeration!$J4,"")</f>
        <v/>
      </c>
      <c r="L36" s="24"/>
      <c r="M36" s="24"/>
      <c r="N36" s="24"/>
      <c r="O36" s="24"/>
      <c r="P36" s="88" t="str">
        <f t="shared" ref="P36:P55" si="9">IF(ISNUMBER($E36)=TRUE,Value_CalcVersion,"")</f>
        <v/>
      </c>
      <c r="Q36" s="24" t="str">
        <f>IF(ISNUMBER($E36)=TRUE,Refrigeration!D4,"")</f>
        <v/>
      </c>
    </row>
    <row r="37" spans="1:17" x14ac:dyDescent="0.25">
      <c r="A37" s="22" t="s">
        <v>135</v>
      </c>
      <c r="B37" s="22" t="s">
        <v>135</v>
      </c>
      <c r="C37" s="22" t="str">
        <f t="shared" si="7"/>
        <v/>
      </c>
      <c r="D37" s="22">
        <f t="shared" si="3"/>
        <v>0</v>
      </c>
      <c r="E37" s="22" t="str">
        <f>Refrigeration!$B5</f>
        <v/>
      </c>
      <c r="F37" s="22" t="str">
        <f t="shared" si="8"/>
        <v/>
      </c>
      <c r="G37" s="22" t="str">
        <f>IF(ISNUMBER($E37)=TRUE,Refrigeration!$I5,"")</f>
        <v/>
      </c>
      <c r="H37" s="22" t="str">
        <f>IF(ISNUMBER($E37)=TRUE,Refrigeration!$N5,"")</f>
        <v/>
      </c>
      <c r="I37" s="22" t="str">
        <f>IF(ISNUMBER($E37)=TRUE,Refrigeration!$P5,"")</f>
        <v/>
      </c>
      <c r="J37" s="23" t="str">
        <f>IF(ISNUMBER($E37)=TRUE,IF(AND(Subtotal_Incentive&gt;Value_Max_Incentive,Total_ProjectCost&gt;Value_Max_Incentive),Value_Max_Incentive*(Refrigeration!M5/Subtotal_Incentive),IF(AND(Subtotal_Incentive&gt;Total_ProjectCost,Total_ProjectCost&lt;Value_Max_Incentive),Total_ProjectCost*(Refrigeration!M5/Subtotal_Incentive),Refrigeration!M5)),"")</f>
        <v/>
      </c>
      <c r="K37" s="22" t="str">
        <f>IF(ISNUMBER($E37)=TRUE,Refrigeration!$J5,"")</f>
        <v/>
      </c>
      <c r="L37" s="24"/>
      <c r="M37" s="24"/>
      <c r="N37" s="24"/>
      <c r="O37" s="24"/>
      <c r="P37" s="88" t="str">
        <f t="shared" si="9"/>
        <v/>
      </c>
      <c r="Q37" s="24" t="str">
        <f>IF(ISNUMBER($E37)=TRUE,Refrigeration!D5,"")</f>
        <v/>
      </c>
    </row>
    <row r="38" spans="1:17" x14ac:dyDescent="0.25">
      <c r="A38" s="22" t="s">
        <v>135</v>
      </c>
      <c r="B38" s="22" t="s">
        <v>135</v>
      </c>
      <c r="C38" s="22" t="str">
        <f t="shared" si="7"/>
        <v/>
      </c>
      <c r="D38" s="22">
        <f t="shared" si="3"/>
        <v>0</v>
      </c>
      <c r="E38" s="22" t="str">
        <f>Refrigeration!$B6</f>
        <v/>
      </c>
      <c r="F38" s="22" t="str">
        <f t="shared" si="8"/>
        <v/>
      </c>
      <c r="G38" s="22" t="str">
        <f>IF(ISNUMBER($E38)=TRUE,Refrigeration!$I6,"")</f>
        <v/>
      </c>
      <c r="H38" s="22" t="str">
        <f>IF(ISNUMBER($E38)=TRUE,Refrigeration!$N6,"")</f>
        <v/>
      </c>
      <c r="I38" s="22" t="str">
        <f>IF(ISNUMBER($E38)=TRUE,Refrigeration!$P6,"")</f>
        <v/>
      </c>
      <c r="J38" s="23" t="str">
        <f>IF(ISNUMBER($E38)=TRUE,IF(AND(Subtotal_Incentive&gt;Value_Max_Incentive,Total_ProjectCost&gt;Value_Max_Incentive),Value_Max_Incentive*(Refrigeration!M6/Subtotal_Incentive),IF(AND(Subtotal_Incentive&gt;Total_ProjectCost,Total_ProjectCost&lt;Value_Max_Incentive),Total_ProjectCost*(Refrigeration!M6/Subtotal_Incentive),Refrigeration!M6)),"")</f>
        <v/>
      </c>
      <c r="K38" s="22" t="str">
        <f>IF(ISNUMBER($E38)=TRUE,Refrigeration!$J6,"")</f>
        <v/>
      </c>
      <c r="L38" s="24"/>
      <c r="M38" s="24"/>
      <c r="N38" s="24"/>
      <c r="O38" s="24"/>
      <c r="P38" s="88" t="str">
        <f t="shared" si="9"/>
        <v/>
      </c>
      <c r="Q38" s="24" t="str">
        <f>IF(ISNUMBER($E38)=TRUE,Refrigeration!D6,"")</f>
        <v/>
      </c>
    </row>
    <row r="39" spans="1:17" x14ac:dyDescent="0.25">
      <c r="A39" s="22" t="s">
        <v>135</v>
      </c>
      <c r="B39" s="22" t="s">
        <v>135</v>
      </c>
      <c r="C39" s="22" t="str">
        <f t="shared" si="7"/>
        <v/>
      </c>
      <c r="D39" s="22">
        <f t="shared" si="3"/>
        <v>0</v>
      </c>
      <c r="E39" s="22" t="str">
        <f>Refrigeration!$B7</f>
        <v/>
      </c>
      <c r="F39" s="22" t="str">
        <f t="shared" si="8"/>
        <v/>
      </c>
      <c r="G39" s="22" t="str">
        <f>IF(ISNUMBER($E39)=TRUE,Refrigeration!$I7,"")</f>
        <v/>
      </c>
      <c r="H39" s="22" t="str">
        <f>IF(ISNUMBER($E39)=TRUE,Refrigeration!$N7,"")</f>
        <v/>
      </c>
      <c r="I39" s="22" t="str">
        <f>IF(ISNUMBER($E39)=TRUE,Refrigeration!$P7,"")</f>
        <v/>
      </c>
      <c r="J39" s="23" t="str">
        <f>IF(ISNUMBER($E39)=TRUE,IF(AND(Subtotal_Incentive&gt;Value_Max_Incentive,Total_ProjectCost&gt;Value_Max_Incentive),Value_Max_Incentive*(Refrigeration!M7/Subtotal_Incentive),IF(AND(Subtotal_Incentive&gt;Total_ProjectCost,Total_ProjectCost&lt;Value_Max_Incentive),Total_ProjectCost*(Refrigeration!M7/Subtotal_Incentive),Refrigeration!M7)),"")</f>
        <v/>
      </c>
      <c r="K39" s="22" t="str">
        <f>IF(ISNUMBER($E39)=TRUE,Refrigeration!$J7,"")</f>
        <v/>
      </c>
      <c r="L39" s="24"/>
      <c r="M39" s="24"/>
      <c r="N39" s="24"/>
      <c r="O39" s="24"/>
      <c r="P39" s="88" t="str">
        <f t="shared" si="9"/>
        <v/>
      </c>
      <c r="Q39" s="24" t="str">
        <f>IF(ISNUMBER($E39)=TRUE,Refrigeration!D7,"")</f>
        <v/>
      </c>
    </row>
    <row r="40" spans="1:17" x14ac:dyDescent="0.25">
      <c r="A40" s="22" t="s">
        <v>135</v>
      </c>
      <c r="B40" s="22" t="s">
        <v>135</v>
      </c>
      <c r="C40" s="22" t="str">
        <f t="shared" si="7"/>
        <v/>
      </c>
      <c r="D40" s="22">
        <f t="shared" si="3"/>
        <v>0</v>
      </c>
      <c r="E40" s="22" t="str">
        <f>Refrigeration!$B8</f>
        <v/>
      </c>
      <c r="F40" s="22" t="str">
        <f t="shared" si="8"/>
        <v/>
      </c>
      <c r="G40" s="22" t="str">
        <f>IF(ISNUMBER($E40)=TRUE,Refrigeration!$I8,"")</f>
        <v/>
      </c>
      <c r="H40" s="22" t="str">
        <f>IF(ISNUMBER($E40)=TRUE,Refrigeration!$N8,"")</f>
        <v/>
      </c>
      <c r="I40" s="22" t="str">
        <f>IF(ISNUMBER($E40)=TRUE,Refrigeration!$P8,"")</f>
        <v/>
      </c>
      <c r="J40" s="23" t="str">
        <f>IF(ISNUMBER($E40)=TRUE,IF(AND(Subtotal_Incentive&gt;Value_Max_Incentive,Total_ProjectCost&gt;Value_Max_Incentive),Value_Max_Incentive*(Refrigeration!M8/Subtotal_Incentive),IF(AND(Subtotal_Incentive&gt;Total_ProjectCost,Total_ProjectCost&lt;Value_Max_Incentive),Total_ProjectCost*(Refrigeration!M8/Subtotal_Incentive),Refrigeration!M8)),"")</f>
        <v/>
      </c>
      <c r="K40" s="22" t="str">
        <f>IF(ISNUMBER($E40)=TRUE,Refrigeration!$J8,"")</f>
        <v/>
      </c>
      <c r="L40" s="24"/>
      <c r="M40" s="24"/>
      <c r="N40" s="24"/>
      <c r="O40" s="24"/>
      <c r="P40" s="88" t="str">
        <f t="shared" si="9"/>
        <v/>
      </c>
      <c r="Q40" s="24" t="str">
        <f>IF(ISNUMBER($E40)=TRUE,Refrigeration!D8,"")</f>
        <v/>
      </c>
    </row>
    <row r="41" spans="1:17" x14ac:dyDescent="0.25">
      <c r="A41" s="89" t="s">
        <v>396</v>
      </c>
      <c r="B41" s="89" t="s">
        <v>46</v>
      </c>
      <c r="C41" s="89" t="str">
        <f t="shared" si="7"/>
        <v/>
      </c>
      <c r="D41" s="89">
        <f t="shared" si="0"/>
        <v>0</v>
      </c>
      <c r="E41" s="89" t="str">
        <f>'Food service'!$B3</f>
        <v/>
      </c>
      <c r="F41" s="89" t="str">
        <f>IF(ISNUMBER($E41)=TRUE,"Yes","")</f>
        <v/>
      </c>
      <c r="G41" s="89" t="str">
        <f>IF(ISNUMBER($E41)=TRUE,'Food service'!G3,"")</f>
        <v/>
      </c>
      <c r="H41" s="89" t="str">
        <f>IF(ISNUMBER($E41)=TRUE,'Food service'!L3,"")</f>
        <v/>
      </c>
      <c r="I41" s="89" t="str">
        <f>IF(ISNUMBER($E41)=TRUE,'Food service'!N9,"")</f>
        <v/>
      </c>
      <c r="J41" s="90" t="str">
        <f>IF(ISNUMBER($E41)=TRUE,IF(AND(Subtotal_Incentive&gt;Value_Max_Incentive,Total_ProjectCost&gt;Value_Max_Incentive),Value_Max_Incentive*('Food service'!K3/Subtotal_Incentive),IF(AND(Subtotal_Incentive&gt;Total_ProjectCost,Total_ProjectCost&lt;Value_Max_Incentive),Total_ProjectCost*('Food service'!K3/Subtotal_Incentive),'Food service'!K3)),"")</f>
        <v/>
      </c>
      <c r="K41" s="89" t="str">
        <f>IF(ISNUMBER($E41)=TRUE,'Food service'!H3,"")</f>
        <v/>
      </c>
      <c r="L41" s="91"/>
      <c r="M41" s="91"/>
      <c r="N41" s="91"/>
      <c r="O41" s="91"/>
      <c r="P41" s="92" t="str">
        <f t="shared" si="9"/>
        <v/>
      </c>
      <c r="Q41" s="91" t="str">
        <f>IF(ISNUMBER($E41)=TRUE,'Food service'!D3,"")</f>
        <v/>
      </c>
    </row>
    <row r="42" spans="1:17" x14ac:dyDescent="0.25">
      <c r="A42" s="89" t="s">
        <v>396</v>
      </c>
      <c r="B42" s="89" t="s">
        <v>46</v>
      </c>
      <c r="C42" s="89" t="str">
        <f t="shared" si="7"/>
        <v/>
      </c>
      <c r="D42" s="89">
        <f t="shared" si="0"/>
        <v>0</v>
      </c>
      <c r="E42" s="89" t="str">
        <f>'Food service'!$B4</f>
        <v/>
      </c>
      <c r="F42" s="89" t="str">
        <f t="shared" ref="F42:F45" si="10">IF(ISNUMBER($E42)=TRUE,"Yes","")</f>
        <v/>
      </c>
      <c r="G42" s="89" t="str">
        <f>IF(ISNUMBER($E42)=TRUE,'Food service'!G4,"")</f>
        <v/>
      </c>
      <c r="H42" s="89" t="str">
        <f>IF(ISNUMBER($E42)=TRUE,'Food service'!L4,"")</f>
        <v/>
      </c>
      <c r="I42" s="89" t="str">
        <f>IF(ISNUMBER($E42)=TRUE,'Food service'!N10,"")</f>
        <v/>
      </c>
      <c r="J42" s="90" t="str">
        <f>IF(ISNUMBER($E42)=TRUE,IF(AND(Subtotal_Incentive&gt;Value_Max_Incentive,Total_ProjectCost&gt;Value_Max_Incentive),Value_Max_Incentive*('Food service'!K4/Subtotal_Incentive),IF(AND(Subtotal_Incentive&gt;Total_ProjectCost,Total_ProjectCost&lt;Value_Max_Incentive),Total_ProjectCost*('Food service'!K4/Subtotal_Incentive),'Food service'!K4)),"")</f>
        <v/>
      </c>
      <c r="K42" s="89" t="str">
        <f>IF(ISNUMBER($E42)=TRUE,'Food service'!H4,"")</f>
        <v/>
      </c>
      <c r="L42" s="91"/>
      <c r="M42" s="91"/>
      <c r="N42" s="91"/>
      <c r="O42" s="91"/>
      <c r="P42" s="92" t="str">
        <f t="shared" si="9"/>
        <v/>
      </c>
      <c r="Q42" s="91" t="str">
        <f>IF(ISNUMBER($E42)=TRUE,'Food service'!D4,"")</f>
        <v/>
      </c>
    </row>
    <row r="43" spans="1:17" x14ac:dyDescent="0.25">
      <c r="A43" s="89" t="s">
        <v>396</v>
      </c>
      <c r="B43" s="89" t="s">
        <v>46</v>
      </c>
      <c r="C43" s="89" t="str">
        <f t="shared" si="7"/>
        <v/>
      </c>
      <c r="D43" s="89">
        <f t="shared" si="0"/>
        <v>0</v>
      </c>
      <c r="E43" s="89" t="str">
        <f>'Food service'!$B5</f>
        <v/>
      </c>
      <c r="F43" s="89" t="str">
        <f t="shared" si="10"/>
        <v/>
      </c>
      <c r="G43" s="89" t="str">
        <f>IF(ISNUMBER($E43)=TRUE,'Food service'!G5,"")</f>
        <v/>
      </c>
      <c r="H43" s="89" t="str">
        <f>IF(ISNUMBER($E43)=TRUE,'Food service'!L5,"")</f>
        <v/>
      </c>
      <c r="I43" s="89" t="str">
        <f>IF(ISNUMBER($E43)=TRUE,'Food service'!N11,"")</f>
        <v/>
      </c>
      <c r="J43" s="90" t="str">
        <f>IF(ISNUMBER($E43)=TRUE,IF(AND(Subtotal_Incentive&gt;Value_Max_Incentive,Total_ProjectCost&gt;Value_Max_Incentive),Value_Max_Incentive*('Food service'!K5/Subtotal_Incentive),IF(AND(Subtotal_Incentive&gt;Total_ProjectCost,Total_ProjectCost&lt;Value_Max_Incentive),Total_ProjectCost*('Food service'!K5/Subtotal_Incentive),'Food service'!K5)),"")</f>
        <v/>
      </c>
      <c r="K43" s="89" t="str">
        <f>IF(ISNUMBER($E43)=TRUE,'Food service'!H5,"")</f>
        <v/>
      </c>
      <c r="L43" s="91"/>
      <c r="M43" s="91"/>
      <c r="N43" s="91"/>
      <c r="O43" s="91"/>
      <c r="P43" s="92" t="str">
        <f t="shared" si="9"/>
        <v/>
      </c>
      <c r="Q43" s="91" t="str">
        <f>IF(ISNUMBER($E43)=TRUE,'Food service'!D5,"")</f>
        <v/>
      </c>
    </row>
    <row r="44" spans="1:17" x14ac:dyDescent="0.25">
      <c r="A44" s="89" t="s">
        <v>396</v>
      </c>
      <c r="B44" s="89" t="s">
        <v>46</v>
      </c>
      <c r="C44" s="89" t="str">
        <f t="shared" si="7"/>
        <v/>
      </c>
      <c r="D44" s="89">
        <f t="shared" si="0"/>
        <v>0</v>
      </c>
      <c r="E44" s="89" t="str">
        <f>'Food service'!$B6</f>
        <v/>
      </c>
      <c r="F44" s="89" t="str">
        <f t="shared" si="10"/>
        <v/>
      </c>
      <c r="G44" s="89" t="str">
        <f>IF(ISNUMBER($E44)=TRUE,'Food service'!G6,"")</f>
        <v/>
      </c>
      <c r="H44" s="89" t="str">
        <f>IF(ISNUMBER($E44)=TRUE,'Food service'!L6,"")</f>
        <v/>
      </c>
      <c r="I44" s="89" t="str">
        <f>IF(ISNUMBER($E44)=TRUE,'Food service'!N12,"")</f>
        <v/>
      </c>
      <c r="J44" s="90" t="str">
        <f>IF(ISNUMBER($E44)=TRUE,IF(AND(Subtotal_Incentive&gt;Value_Max_Incentive,Total_ProjectCost&gt;Value_Max_Incentive),Value_Max_Incentive*('Food service'!K6/Subtotal_Incentive),IF(AND(Subtotal_Incentive&gt;Total_ProjectCost,Total_ProjectCost&lt;Value_Max_Incentive),Total_ProjectCost*('Food service'!K6/Subtotal_Incentive),'Food service'!K6)),"")</f>
        <v/>
      </c>
      <c r="K44" s="89" t="str">
        <f>IF(ISNUMBER($E44)=TRUE,'Food service'!H6,"")</f>
        <v/>
      </c>
      <c r="L44" s="91"/>
      <c r="M44" s="91"/>
      <c r="N44" s="91"/>
      <c r="O44" s="91"/>
      <c r="P44" s="92" t="str">
        <f t="shared" si="9"/>
        <v/>
      </c>
      <c r="Q44" s="91" t="str">
        <f>IF(ISNUMBER($E44)=TRUE,'Food service'!D6,"")</f>
        <v/>
      </c>
    </row>
    <row r="45" spans="1:17" x14ac:dyDescent="0.25">
      <c r="A45" s="89" t="s">
        <v>396</v>
      </c>
      <c r="B45" s="89" t="s">
        <v>46</v>
      </c>
      <c r="C45" s="89" t="str">
        <f t="shared" si="7"/>
        <v/>
      </c>
      <c r="D45" s="89">
        <f t="shared" si="0"/>
        <v>0</v>
      </c>
      <c r="E45" s="89" t="str">
        <f>'Food service'!$B7</f>
        <v/>
      </c>
      <c r="F45" s="89" t="str">
        <f t="shared" si="10"/>
        <v/>
      </c>
      <c r="G45" s="89" t="str">
        <f>IF(ISNUMBER($E45)=TRUE,'Food service'!G7,"")</f>
        <v/>
      </c>
      <c r="H45" s="89" t="str">
        <f>IF(ISNUMBER($E45)=TRUE,'Food service'!L7,"")</f>
        <v/>
      </c>
      <c r="I45" s="89" t="str">
        <f>IF(ISNUMBER($E45)=TRUE,'Food service'!N13,"")</f>
        <v/>
      </c>
      <c r="J45" s="90" t="str">
        <f>IF(ISNUMBER($E45)=TRUE,IF(AND(Subtotal_Incentive&gt;Value_Max_Incentive,Total_ProjectCost&gt;Value_Max_Incentive),Value_Max_Incentive*('Food service'!K7/Subtotal_Incentive),IF(AND(Subtotal_Incentive&gt;Total_ProjectCost,Total_ProjectCost&lt;Value_Max_Incentive),Total_ProjectCost*('Food service'!K7/Subtotal_Incentive),'Food service'!K7)),"")</f>
        <v/>
      </c>
      <c r="K45" s="89" t="str">
        <f>IF(ISNUMBER($E45)=TRUE,'Food service'!H7,"")</f>
        <v/>
      </c>
      <c r="L45" s="91"/>
      <c r="M45" s="91"/>
      <c r="N45" s="91"/>
      <c r="O45" s="91"/>
      <c r="P45" s="92" t="str">
        <f t="shared" si="9"/>
        <v/>
      </c>
      <c r="Q45" s="91" t="str">
        <f>IF(ISNUMBER($E45)=TRUE,'Food service'!D7,"")</f>
        <v/>
      </c>
    </row>
    <row r="46" spans="1:17" x14ac:dyDescent="0.25">
      <c r="A46" s="22" t="s">
        <v>46</v>
      </c>
      <c r="B46" s="22" t="s">
        <v>46</v>
      </c>
      <c r="C46" s="22" t="str">
        <f t="shared" si="7"/>
        <v/>
      </c>
      <c r="D46" s="22">
        <f t="shared" si="0"/>
        <v>0</v>
      </c>
      <c r="E46" s="22" t="str">
        <f>'Food service'!$B9</f>
        <v/>
      </c>
      <c r="F46" s="22" t="str">
        <f>IF(ISNUMBER($E46)=TRUE,"Yes","")</f>
        <v/>
      </c>
      <c r="G46" s="22" t="str">
        <f>IF(ISNUMBER($E46)=TRUE,'Food service'!G9,"")</f>
        <v/>
      </c>
      <c r="H46" s="22" t="str">
        <f>IF(ISNUMBER($E46)=TRUE,'Food service'!L9,"")</f>
        <v/>
      </c>
      <c r="I46" s="22" t="str">
        <f>IF(ISNUMBER($E46)=TRUE,'Food service'!N9,"")</f>
        <v/>
      </c>
      <c r="J46" s="23" t="str">
        <f>IF(ISNUMBER($E46)=TRUE,IF(AND(Subtotal_Incentive&gt;Value_Max_Incentive,Total_ProjectCost&gt;Value_Max_Incentive),Value_Max_Incentive*('Food service'!K10/Subtotal_Incentive),IF(AND(Subtotal_Incentive&gt;Total_ProjectCost,Total_ProjectCost&lt;Value_Max_Incentive),Total_ProjectCost*('Food service'!K10/Subtotal_Incentive),'Food service'!K10)),"")</f>
        <v/>
      </c>
      <c r="K46" s="22" t="str">
        <f>IF(ISNUMBER($E46)=TRUE,'Food service'!H9,"")</f>
        <v/>
      </c>
      <c r="L46" s="24"/>
      <c r="M46" s="24"/>
      <c r="N46" s="24"/>
      <c r="O46" s="24"/>
      <c r="P46" s="88" t="str">
        <f t="shared" si="9"/>
        <v/>
      </c>
      <c r="Q46" s="24" t="str">
        <f>IF(ISNUMBER($E46)=TRUE,'Food service'!D9,"")</f>
        <v/>
      </c>
    </row>
    <row r="47" spans="1:17" x14ac:dyDescent="0.25">
      <c r="A47" s="22" t="s">
        <v>46</v>
      </c>
      <c r="B47" s="22" t="s">
        <v>46</v>
      </c>
      <c r="C47" s="22" t="str">
        <f t="shared" si="7"/>
        <v/>
      </c>
      <c r="D47" s="22">
        <f t="shared" si="0"/>
        <v>0</v>
      </c>
      <c r="E47" s="22" t="str">
        <f>'Food service'!$B10</f>
        <v/>
      </c>
      <c r="F47" s="22" t="str">
        <f t="shared" ref="F47:F50" si="11">IF(ISNUMBER($E47)=TRUE,"Yes","")</f>
        <v/>
      </c>
      <c r="G47" s="22" t="str">
        <f>IF(ISNUMBER($E47)=TRUE,'Food service'!G10,"")</f>
        <v/>
      </c>
      <c r="H47" s="22" t="str">
        <f>IF(ISNUMBER($E47)=TRUE,'Food service'!L10,"")</f>
        <v/>
      </c>
      <c r="I47" s="22" t="str">
        <f>IF(ISNUMBER($E47)=TRUE,'Food service'!N10,"")</f>
        <v/>
      </c>
      <c r="J47" s="23" t="str">
        <f>IF(ISNUMBER($E47)=TRUE,IF(AND(Subtotal_Incentive&gt;Value_Max_Incentive,Total_ProjectCost&gt;Value_Max_Incentive),Value_Max_Incentive*('Food service'!K11/Subtotal_Incentive),IF(AND(Subtotal_Incentive&gt;Total_ProjectCost,Total_ProjectCost&lt;Value_Max_Incentive),Total_ProjectCost*('Food service'!K11/Subtotal_Incentive),'Food service'!K11)),"")</f>
        <v/>
      </c>
      <c r="K47" s="22" t="str">
        <f>IF(ISNUMBER($E47)=TRUE,'Food service'!H10,"")</f>
        <v/>
      </c>
      <c r="L47" s="24"/>
      <c r="M47" s="24"/>
      <c r="N47" s="24"/>
      <c r="O47" s="24"/>
      <c r="P47" s="88" t="str">
        <f t="shared" si="9"/>
        <v/>
      </c>
      <c r="Q47" s="24" t="str">
        <f>IF(ISNUMBER($E47)=TRUE,'Food service'!D10,"")</f>
        <v/>
      </c>
    </row>
    <row r="48" spans="1:17" x14ac:dyDescent="0.25">
      <c r="A48" s="22" t="s">
        <v>46</v>
      </c>
      <c r="B48" s="22" t="s">
        <v>46</v>
      </c>
      <c r="C48" s="22" t="str">
        <f t="shared" si="7"/>
        <v/>
      </c>
      <c r="D48" s="22">
        <f t="shared" si="0"/>
        <v>0</v>
      </c>
      <c r="E48" s="22" t="str">
        <f>'Food service'!$B11</f>
        <v/>
      </c>
      <c r="F48" s="22" t="str">
        <f t="shared" si="11"/>
        <v/>
      </c>
      <c r="G48" s="22" t="str">
        <f>IF(ISNUMBER($E48)=TRUE,'Food service'!G11,"")</f>
        <v/>
      </c>
      <c r="H48" s="22" t="str">
        <f>IF(ISNUMBER($E48)=TRUE,'Food service'!L11,"")</f>
        <v/>
      </c>
      <c r="I48" s="22" t="str">
        <f>IF(ISNUMBER($E48)=TRUE,'Food service'!N11,"")</f>
        <v/>
      </c>
      <c r="J48" s="23" t="str">
        <f>IF(ISNUMBER($E48)=TRUE,IF(AND(Subtotal_Incentive&gt;Value_Max_Incentive,Total_ProjectCost&gt;Value_Max_Incentive),Value_Max_Incentive*('Food service'!K12/Subtotal_Incentive),IF(AND(Subtotal_Incentive&gt;Total_ProjectCost,Total_ProjectCost&lt;Value_Max_Incentive),Total_ProjectCost*('Food service'!K12/Subtotal_Incentive),'Food service'!K12)),"")</f>
        <v/>
      </c>
      <c r="K48" s="22" t="str">
        <f>IF(ISNUMBER($E48)=TRUE,'Food service'!H11,"")</f>
        <v/>
      </c>
      <c r="L48" s="24"/>
      <c r="M48" s="24"/>
      <c r="N48" s="24"/>
      <c r="O48" s="24"/>
      <c r="P48" s="88" t="str">
        <f t="shared" si="9"/>
        <v/>
      </c>
      <c r="Q48" s="24" t="str">
        <f>IF(ISNUMBER($E48)=TRUE,'Food service'!D11,"")</f>
        <v/>
      </c>
    </row>
    <row r="49" spans="1:17" x14ac:dyDescent="0.25">
      <c r="A49" s="22" t="s">
        <v>46</v>
      </c>
      <c r="B49" s="22" t="s">
        <v>46</v>
      </c>
      <c r="C49" s="22" t="str">
        <f t="shared" si="7"/>
        <v/>
      </c>
      <c r="D49" s="22">
        <f t="shared" si="0"/>
        <v>0</v>
      </c>
      <c r="E49" s="22" t="str">
        <f>'Food service'!$B12</f>
        <v/>
      </c>
      <c r="F49" s="22" t="str">
        <f t="shared" si="11"/>
        <v/>
      </c>
      <c r="G49" s="22" t="str">
        <f>IF(ISNUMBER($E49)=TRUE,'Food service'!G12,"")</f>
        <v/>
      </c>
      <c r="H49" s="22" t="str">
        <f>IF(ISNUMBER($E49)=TRUE,'Food service'!L12,"")</f>
        <v/>
      </c>
      <c r="I49" s="22" t="str">
        <f>IF(ISNUMBER($E49)=TRUE,'Food service'!N12,"")</f>
        <v/>
      </c>
      <c r="J49" s="23" t="str">
        <f>IF(ISNUMBER($E49)=TRUE,IF(AND(Subtotal_Incentive&gt;Value_Max_Incentive,Total_ProjectCost&gt;Value_Max_Incentive),Value_Max_Incentive*('Food service'!K13/Subtotal_Incentive),IF(AND(Subtotal_Incentive&gt;Total_ProjectCost,Total_ProjectCost&lt;Value_Max_Incentive),Total_ProjectCost*('Food service'!K13/Subtotal_Incentive),'Food service'!K13)),"")</f>
        <v/>
      </c>
      <c r="K49" s="22" t="str">
        <f>IF(ISNUMBER($E49)=TRUE,'Food service'!H12,"")</f>
        <v/>
      </c>
      <c r="L49" s="24"/>
      <c r="M49" s="24"/>
      <c r="N49" s="24"/>
      <c r="O49" s="24"/>
      <c r="P49" s="88" t="str">
        <f t="shared" si="9"/>
        <v/>
      </c>
      <c r="Q49" s="24" t="str">
        <f>IF(ISNUMBER($E49)=TRUE,'Food service'!D12,"")</f>
        <v/>
      </c>
    </row>
    <row r="50" spans="1:17" x14ac:dyDescent="0.25">
      <c r="A50" s="22" t="s">
        <v>46</v>
      </c>
      <c r="B50" s="22" t="s">
        <v>46</v>
      </c>
      <c r="C50" s="22" t="str">
        <f t="shared" si="7"/>
        <v/>
      </c>
      <c r="D50" s="22">
        <f t="shared" si="0"/>
        <v>0</v>
      </c>
      <c r="E50" s="22" t="str">
        <f>'Food service'!$B13</f>
        <v/>
      </c>
      <c r="F50" s="22" t="str">
        <f t="shared" si="11"/>
        <v/>
      </c>
      <c r="G50" s="22" t="str">
        <f>IF(ISNUMBER($E50)=TRUE,'Food service'!G13,"")</f>
        <v/>
      </c>
      <c r="H50" s="22" t="str">
        <f>IF(ISNUMBER($E50)=TRUE,'Food service'!L13,"")</f>
        <v/>
      </c>
      <c r="I50" s="22" t="str">
        <f>IF(ISNUMBER($E50)=TRUE,'Food service'!N13,"")</f>
        <v/>
      </c>
      <c r="J50" s="23" t="str">
        <f>IF(ISNUMBER($E50)=TRUE,IF(AND(Subtotal_Incentive&gt;Value_Max_Incentive,Total_ProjectCost&gt;Value_Max_Incentive),Value_Max_Incentive*('Food service'!K14/Subtotal_Incentive),IF(AND(Subtotal_Incentive&gt;Total_ProjectCost,Total_ProjectCost&lt;Value_Max_Incentive),Total_ProjectCost*('Food service'!K14/Subtotal_Incentive),'Food service'!K14)),"")</f>
        <v/>
      </c>
      <c r="K50" s="22" t="str">
        <f>IF(ISNUMBER($E50)=TRUE,'Food service'!H13,"")</f>
        <v/>
      </c>
      <c r="L50" s="24"/>
      <c r="M50" s="24"/>
      <c r="N50" s="24"/>
      <c r="O50" s="24"/>
      <c r="P50" s="88" t="str">
        <f t="shared" si="9"/>
        <v/>
      </c>
      <c r="Q50" s="24" t="str">
        <f>IF(ISNUMBER($E50)=TRUE,'Food service'!D13,"")</f>
        <v/>
      </c>
    </row>
    <row r="51" spans="1:17" x14ac:dyDescent="0.25">
      <c r="A51" s="89" t="s">
        <v>397</v>
      </c>
      <c r="B51" s="89" t="s">
        <v>399</v>
      </c>
      <c r="C51" s="89" t="str">
        <f t="shared" si="7"/>
        <v/>
      </c>
      <c r="D51" s="89">
        <f t="shared" si="0"/>
        <v>0</v>
      </c>
      <c r="E51" s="89" t="str">
        <f>Misc.!B3</f>
        <v/>
      </c>
      <c r="F51" s="89" t="str">
        <f>IF(ISNUMBER($E51)=TRUE,"Yes","")</f>
        <v/>
      </c>
      <c r="G51" s="93" t="str">
        <f>IF(ISNUMBER($E51)=TRUE,Misc.!G3,"")</f>
        <v/>
      </c>
      <c r="H51" s="89" t="str">
        <f>IF(ISNUMBER($E51)=TRUE,Misc.!L3,"")</f>
        <v/>
      </c>
      <c r="I51" s="89" t="str">
        <f>IF(ISNUMBER($E51)=TRUE,Misc.!N3,"")</f>
        <v/>
      </c>
      <c r="J51" s="90" t="str">
        <f>IF(ISNUMBER($E51)=TRUE,IF(AND(Subtotal_Incentive&gt;Value_Max_Incentive,Total_ProjectCost&gt;Value_Max_Incentive),Value_Max_Incentive*(Misc.!K3/Subtotal_Incentive),IF(AND(Subtotal_Incentive&gt;Total_ProjectCost,Total_ProjectCost&lt;Value_Max_Incentive),Total_ProjectCost*(Misc.!K3/Subtotal_Incentive),Misc.!K3)),"")</f>
        <v/>
      </c>
      <c r="K51" s="89" t="str">
        <f>IF(ISNUMBER($E51)=TRUE,Misc.!H3,"")</f>
        <v/>
      </c>
      <c r="L51" s="91"/>
      <c r="M51" s="91"/>
      <c r="N51" s="94"/>
      <c r="O51" s="91"/>
      <c r="P51" s="92" t="str">
        <f t="shared" si="9"/>
        <v/>
      </c>
      <c r="Q51" s="91" t="str">
        <f>IF(ISNUMBER($E51)=TRUE,Misc.!D3,"")</f>
        <v/>
      </c>
    </row>
    <row r="52" spans="1:17" x14ac:dyDescent="0.25">
      <c r="A52" s="89" t="s">
        <v>397</v>
      </c>
      <c r="B52" s="89" t="s">
        <v>399</v>
      </c>
      <c r="C52" s="89" t="str">
        <f t="shared" si="7"/>
        <v/>
      </c>
      <c r="D52" s="89">
        <f t="shared" si="0"/>
        <v>0</v>
      </c>
      <c r="E52" s="89" t="str">
        <f>Misc.!B4</f>
        <v/>
      </c>
      <c r="F52" s="89" t="str">
        <f t="shared" ref="F52:F53" si="12">IF(ISNUMBER($E52)=TRUE,"Yes","")</f>
        <v/>
      </c>
      <c r="G52" s="93" t="str">
        <f>IF(ISNUMBER($E52)=TRUE,Misc.!G4,"")</f>
        <v/>
      </c>
      <c r="H52" s="89" t="str">
        <f>IF(ISNUMBER($E52)=TRUE,Misc.!L4,"")</f>
        <v/>
      </c>
      <c r="I52" s="89" t="str">
        <f>IF(ISNUMBER($E52)=TRUE,Misc.!N4,"")</f>
        <v/>
      </c>
      <c r="J52" s="90" t="str">
        <f>IF(ISNUMBER($E52)=TRUE,IF(AND(Subtotal_Incentive&gt;Value_Max_Incentive,Total_ProjectCost&gt;Value_Max_Incentive),Value_Max_Incentive*(Misc.!K4/Subtotal_Incentive),IF(AND(Subtotal_Incentive&gt;Total_ProjectCost,Total_ProjectCost&lt;Value_Max_Incentive),Total_ProjectCost*(Misc.!K4/Subtotal_Incentive),Misc.!K4)),"")</f>
        <v/>
      </c>
      <c r="K52" s="89" t="str">
        <f>IF(ISNUMBER($E52)=TRUE,Misc.!H4,"")</f>
        <v/>
      </c>
      <c r="L52" s="91"/>
      <c r="M52" s="91"/>
      <c r="N52" s="94"/>
      <c r="O52" s="91"/>
      <c r="P52" s="92" t="str">
        <f t="shared" si="9"/>
        <v/>
      </c>
      <c r="Q52" s="91" t="str">
        <f>IF(ISNUMBER($E52)=TRUE,Misc.!D4,"")</f>
        <v/>
      </c>
    </row>
    <row r="53" spans="1:17" x14ac:dyDescent="0.25">
      <c r="A53" s="89" t="s">
        <v>397</v>
      </c>
      <c r="B53" s="89" t="s">
        <v>399</v>
      </c>
      <c r="C53" s="89" t="str">
        <f t="shared" si="7"/>
        <v/>
      </c>
      <c r="D53" s="89">
        <f t="shared" si="0"/>
        <v>0</v>
      </c>
      <c r="E53" s="89" t="str">
        <f>Misc.!B5</f>
        <v/>
      </c>
      <c r="F53" s="89" t="str">
        <f t="shared" si="12"/>
        <v/>
      </c>
      <c r="G53" s="93" t="str">
        <f>IF(ISNUMBER($E53)=TRUE,Misc.!G5,"")</f>
        <v/>
      </c>
      <c r="H53" s="89" t="str">
        <f>IF(ISNUMBER($E53)=TRUE,Misc.!L5,"")</f>
        <v/>
      </c>
      <c r="I53" s="89" t="str">
        <f>IF(ISNUMBER($E53)=TRUE,Misc.!N5,"")</f>
        <v/>
      </c>
      <c r="J53" s="90" t="str">
        <f>IF(ISNUMBER($E53)=TRUE,IF(AND(Subtotal_Incentive&gt;Value_Max_Incentive,Total_ProjectCost&gt;Value_Max_Incentive),Value_Max_Incentive*(Misc.!K5/Subtotal_Incentive),IF(AND(Subtotal_Incentive&gt;Total_ProjectCost,Total_ProjectCost&lt;Value_Max_Incentive),Total_ProjectCost*(Misc.!K5/Subtotal_Incentive),Misc.!K5)),"")</f>
        <v/>
      </c>
      <c r="K53" s="89" t="str">
        <f>IF(ISNUMBER($E53)=TRUE,Misc.!H5,"")</f>
        <v/>
      </c>
      <c r="L53" s="91"/>
      <c r="M53" s="91"/>
      <c r="N53" s="94"/>
      <c r="O53" s="91"/>
      <c r="P53" s="92" t="str">
        <f t="shared" si="9"/>
        <v/>
      </c>
      <c r="Q53" s="91" t="str">
        <f>IF(ISNUMBER($E53)=TRUE,Misc.!D5,"")</f>
        <v/>
      </c>
    </row>
    <row r="54" spans="1:17" x14ac:dyDescent="0.25">
      <c r="A54" s="22" t="s">
        <v>398</v>
      </c>
      <c r="B54" s="22" t="s">
        <v>399</v>
      </c>
      <c r="C54" s="22" t="str">
        <f t="shared" si="7"/>
        <v/>
      </c>
      <c r="D54" s="22">
        <f t="shared" si="0"/>
        <v>0</v>
      </c>
      <c r="E54" s="22" t="str">
        <f>Misc.!B7</f>
        <v/>
      </c>
      <c r="F54" s="22" t="str">
        <f t="shared" ref="F54:F55" si="13">IF(ISNUMBER($E54)=TRUE,"Yes","")</f>
        <v/>
      </c>
      <c r="G54" s="25" t="str">
        <f>IF(ISNUMBER($E54)=TRUE,Misc.!G7,"")</f>
        <v/>
      </c>
      <c r="H54" s="22" t="str">
        <f>IF(ISNUMBER($E54)=TRUE,Misc.!L7,"")</f>
        <v/>
      </c>
      <c r="I54" s="22" t="str">
        <f>IF(ISNUMBER($E54)=TRUE,Misc.!N7,"")</f>
        <v/>
      </c>
      <c r="J54" s="23" t="str">
        <f>IF(ISNUMBER($E54)=TRUE,IF(AND(Subtotal_Incentive&gt;Value_Max_Incentive,Total_ProjectCost&gt;Value_Max_Incentive),Value_Max_Incentive*(Misc.!K7/Subtotal_Incentive),IF(AND(Subtotal_Incentive&gt;Total_ProjectCost,Total_ProjectCost&lt;Value_Max_Incentive),Total_ProjectCost*(Misc.!K7/Subtotal_Incentive),Misc.!K7)),"")</f>
        <v/>
      </c>
      <c r="K54" s="22" t="str">
        <f>IF(ISNUMBER($E54)=TRUE,Misc.!H7,"")</f>
        <v/>
      </c>
      <c r="L54" s="24"/>
      <c r="M54" s="24"/>
      <c r="N54" s="26"/>
      <c r="O54" s="24"/>
      <c r="P54" s="88" t="str">
        <f t="shared" si="9"/>
        <v/>
      </c>
      <c r="Q54" s="24" t="str">
        <f>IF(ISNUMBER($E54)=TRUE,Misc.!D7,"")</f>
        <v/>
      </c>
    </row>
    <row r="55" spans="1:17" x14ac:dyDescent="0.25">
      <c r="A55" s="22" t="s">
        <v>398</v>
      </c>
      <c r="B55" s="22" t="s">
        <v>399</v>
      </c>
      <c r="C55" s="22" t="str">
        <f t="shared" si="7"/>
        <v/>
      </c>
      <c r="D55" s="22">
        <f t="shared" si="0"/>
        <v>0</v>
      </c>
      <c r="E55" s="22" t="str">
        <f>Misc.!B8</f>
        <v/>
      </c>
      <c r="F55" s="22" t="str">
        <f t="shared" si="13"/>
        <v/>
      </c>
      <c r="G55" s="25" t="str">
        <f>IF(ISNUMBER($E55)=TRUE,Misc.!G8,"")</f>
        <v/>
      </c>
      <c r="H55" s="22" t="str">
        <f>IF(ISNUMBER($E55)=TRUE,Misc.!L8,"")</f>
        <v/>
      </c>
      <c r="I55" s="22" t="str">
        <f>IF(ISNUMBER($E55)=TRUE,Misc.!N8,"")</f>
        <v/>
      </c>
      <c r="J55" s="23" t="str">
        <f>IF(ISNUMBER($E55)=TRUE,IF(AND(Subtotal_Incentive&gt;Value_Max_Incentive,Total_ProjectCost&gt;Value_Max_Incentive),Value_Max_Incentive*(Misc.!K8/Subtotal_Incentive),IF(AND(Subtotal_Incentive&gt;Total_ProjectCost,Total_ProjectCost&lt;Value_Max_Incentive),Total_ProjectCost*(Misc.!K8/Subtotal_Incentive),Misc.!K8)),"")</f>
        <v/>
      </c>
      <c r="K55" s="22" t="str">
        <f>IF(ISNUMBER($E55)=TRUE,Misc.!H8,"")</f>
        <v/>
      </c>
      <c r="L55" s="24"/>
      <c r="M55" s="24"/>
      <c r="N55" s="26"/>
      <c r="O55" s="24"/>
      <c r="P55" s="88" t="str">
        <f t="shared" si="9"/>
        <v/>
      </c>
      <c r="Q55" s="24" t="str">
        <f>IF(ISNUMBER($E55)=TRUE,Misc.!D8,"")</f>
        <v/>
      </c>
    </row>
  </sheetData>
  <autoFilter ref="A2:Q55" xr:uid="{AC1521BA-AD84-493D-AF13-55C57F1C1791}"/>
  <conditionalFormatting sqref="A2:O2 Q2 A4:Q55">
    <cfRule type="containsBlanks" dxfId="4" priority="6">
      <formula>LEN(TRIM(A2))=0</formula>
    </cfRule>
  </conditionalFormatting>
  <conditionalFormatting sqref="P2 P4">
    <cfRule type="containsBlanks" dxfId="3" priority="5">
      <formula>LEN(TRIM(P2))=0</formula>
    </cfRule>
  </conditionalFormatting>
  <conditionalFormatting sqref="A3:P3">
    <cfRule type="containsBlanks" dxfId="2" priority="4">
      <formula>LEN(TRIM(A3))=0</formula>
    </cfRule>
  </conditionalFormatting>
  <conditionalFormatting sqref="P3">
    <cfRule type="containsBlanks" dxfId="1" priority="3">
      <formula>LEN(TRIM(P3))=0</formula>
    </cfRule>
  </conditionalFormatting>
  <conditionalFormatting sqref="Q3">
    <cfRule type="containsBlanks" dxfId="0" priority="1">
      <formula>LEN(TRIM(Q3))=0</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EE3A9-8CB3-4689-9E03-43E46599CE95}">
  <sheetPr>
    <tabColor rgb="FFED1653"/>
  </sheetPr>
  <dimension ref="A1:E26"/>
  <sheetViews>
    <sheetView showGridLines="0" workbookViewId="0">
      <selection activeCell="B11" sqref="B11"/>
    </sheetView>
  </sheetViews>
  <sheetFormatPr defaultRowHeight="15" x14ac:dyDescent="0.25"/>
  <cols>
    <col min="1" max="1" width="6" bestFit="1" customWidth="1"/>
    <col min="2" max="2" width="22.42578125" bestFit="1" customWidth="1"/>
    <col min="3" max="3" width="72.85546875" bestFit="1" customWidth="1"/>
    <col min="4" max="4" width="10.7109375" bestFit="1" customWidth="1"/>
    <col min="5" max="5" width="13.28515625" bestFit="1" customWidth="1"/>
  </cols>
  <sheetData>
    <row r="1" spans="1:5" x14ac:dyDescent="0.25">
      <c r="A1" s="14" t="s">
        <v>377</v>
      </c>
      <c r="B1" s="14" t="s">
        <v>378</v>
      </c>
      <c r="C1" s="14" t="s">
        <v>379</v>
      </c>
      <c r="D1" s="14" t="s">
        <v>380</v>
      </c>
      <c r="E1" s="14" t="s">
        <v>381</v>
      </c>
    </row>
    <row r="2" spans="1:5" x14ac:dyDescent="0.25">
      <c r="A2" s="9">
        <v>1</v>
      </c>
      <c r="B2" s="16" t="s">
        <v>497</v>
      </c>
      <c r="C2" s="9" t="s">
        <v>382</v>
      </c>
      <c r="D2" s="87">
        <v>44543</v>
      </c>
      <c r="E2" s="9" t="s">
        <v>8</v>
      </c>
    </row>
    <row r="3" spans="1:5" x14ac:dyDescent="0.25">
      <c r="A3" s="9">
        <v>2</v>
      </c>
      <c r="B3" s="16" t="s">
        <v>575</v>
      </c>
      <c r="C3" s="9" t="s">
        <v>574</v>
      </c>
      <c r="D3" s="87">
        <v>44880</v>
      </c>
      <c r="E3" s="9" t="s">
        <v>581</v>
      </c>
    </row>
    <row r="4" spans="1:5" x14ac:dyDescent="0.25">
      <c r="A4" s="9">
        <v>3</v>
      </c>
      <c r="B4" s="16" t="s">
        <v>594</v>
      </c>
      <c r="C4" s="9" t="s">
        <v>596</v>
      </c>
      <c r="D4" s="87">
        <v>45014</v>
      </c>
      <c r="E4" s="9" t="s">
        <v>595</v>
      </c>
    </row>
    <row r="5" spans="1:5" x14ac:dyDescent="0.25">
      <c r="A5" s="9">
        <v>4</v>
      </c>
      <c r="B5" s="16" t="s">
        <v>767</v>
      </c>
      <c r="C5" s="9" t="s">
        <v>768</v>
      </c>
      <c r="D5" s="87">
        <v>45083</v>
      </c>
      <c r="E5" s="9" t="s">
        <v>595</v>
      </c>
    </row>
    <row r="6" spans="1:5" x14ac:dyDescent="0.25">
      <c r="A6" s="9">
        <v>5</v>
      </c>
      <c r="B6" s="16" t="s">
        <v>771</v>
      </c>
      <c r="C6" s="9" t="s">
        <v>772</v>
      </c>
      <c r="D6" s="87">
        <v>45106</v>
      </c>
      <c r="E6" s="9" t="s">
        <v>595</v>
      </c>
    </row>
    <row r="7" spans="1:5" x14ac:dyDescent="0.25">
      <c r="A7" s="9">
        <v>6</v>
      </c>
      <c r="B7" s="16" t="s">
        <v>801</v>
      </c>
      <c r="C7" s="9" t="s">
        <v>802</v>
      </c>
      <c r="D7" s="87">
        <v>45189</v>
      </c>
      <c r="E7" s="9" t="s">
        <v>595</v>
      </c>
    </row>
    <row r="8" spans="1:5" x14ac:dyDescent="0.25">
      <c r="A8" s="9">
        <v>7</v>
      </c>
      <c r="B8" s="16" t="s">
        <v>803</v>
      </c>
      <c r="C8" s="9" t="s">
        <v>804</v>
      </c>
      <c r="D8" s="87">
        <v>45296</v>
      </c>
      <c r="E8" s="9" t="s">
        <v>595</v>
      </c>
    </row>
    <row r="9" spans="1:5" x14ac:dyDescent="0.25">
      <c r="A9" s="9">
        <v>8</v>
      </c>
      <c r="B9" s="16" t="s">
        <v>805</v>
      </c>
      <c r="C9" s="9" t="s">
        <v>806</v>
      </c>
      <c r="D9" s="87">
        <v>45335</v>
      </c>
      <c r="E9" s="9" t="s">
        <v>595</v>
      </c>
    </row>
    <row r="10" spans="1:5" x14ac:dyDescent="0.25">
      <c r="A10" s="9">
        <v>9</v>
      </c>
      <c r="B10" s="16" t="s">
        <v>809</v>
      </c>
      <c r="C10" s="9" t="s">
        <v>810</v>
      </c>
      <c r="D10" s="87">
        <v>45337</v>
      </c>
      <c r="E10" s="9" t="s">
        <v>595</v>
      </c>
    </row>
    <row r="11" spans="1:5" x14ac:dyDescent="0.25">
      <c r="A11" s="9">
        <v>10</v>
      </c>
      <c r="B11" s="16" t="s">
        <v>813</v>
      </c>
      <c r="C11" s="9" t="s">
        <v>814</v>
      </c>
      <c r="D11" s="87">
        <v>45665</v>
      </c>
      <c r="E11" s="9" t="s">
        <v>595</v>
      </c>
    </row>
    <row r="12" spans="1:5" x14ac:dyDescent="0.25">
      <c r="A12" s="9">
        <v>11</v>
      </c>
      <c r="B12" s="16"/>
      <c r="C12" s="9"/>
      <c r="D12" s="9"/>
      <c r="E12" s="9"/>
    </row>
    <row r="13" spans="1:5" x14ac:dyDescent="0.25">
      <c r="A13" s="9">
        <v>12</v>
      </c>
      <c r="B13" s="16"/>
      <c r="C13" s="9"/>
      <c r="D13" s="9"/>
      <c r="E13" s="9"/>
    </row>
    <row r="14" spans="1:5" x14ac:dyDescent="0.25">
      <c r="A14" s="9">
        <v>13</v>
      </c>
      <c r="B14" s="16"/>
      <c r="C14" s="9"/>
      <c r="D14" s="9"/>
      <c r="E14" s="9"/>
    </row>
    <row r="15" spans="1:5" x14ac:dyDescent="0.25">
      <c r="A15" s="9">
        <v>14</v>
      </c>
      <c r="B15" s="16"/>
      <c r="C15" s="9"/>
      <c r="D15" s="9"/>
      <c r="E15" s="9"/>
    </row>
    <row r="16" spans="1:5" x14ac:dyDescent="0.25">
      <c r="A16" s="9">
        <v>15</v>
      </c>
      <c r="B16" s="16"/>
      <c r="C16" s="9"/>
      <c r="D16" s="9"/>
      <c r="E16" s="9"/>
    </row>
    <row r="17" spans="1:5" x14ac:dyDescent="0.25">
      <c r="A17" s="9">
        <v>16</v>
      </c>
      <c r="B17" s="16"/>
      <c r="C17" s="9"/>
      <c r="D17" s="9"/>
      <c r="E17" s="9"/>
    </row>
    <row r="18" spans="1:5" x14ac:dyDescent="0.25">
      <c r="A18" s="9">
        <v>17</v>
      </c>
      <c r="B18" s="16"/>
      <c r="C18" s="9"/>
      <c r="D18" s="9"/>
      <c r="E18" s="9"/>
    </row>
    <row r="19" spans="1:5" x14ac:dyDescent="0.25">
      <c r="A19" s="9">
        <v>18</v>
      </c>
      <c r="B19" s="16"/>
      <c r="C19" s="9"/>
      <c r="D19" s="9"/>
      <c r="E19" s="9"/>
    </row>
    <row r="20" spans="1:5" x14ac:dyDescent="0.25">
      <c r="A20" s="9">
        <v>19</v>
      </c>
      <c r="B20" s="16"/>
      <c r="C20" s="9"/>
      <c r="D20" s="9"/>
      <c r="E20" s="9"/>
    </row>
    <row r="21" spans="1:5" x14ac:dyDescent="0.25">
      <c r="A21" s="9">
        <v>20</v>
      </c>
      <c r="B21" s="16"/>
      <c r="C21" s="9"/>
      <c r="D21" s="9"/>
      <c r="E21" s="9"/>
    </row>
    <row r="22" spans="1:5" x14ac:dyDescent="0.25">
      <c r="A22" s="9">
        <v>21</v>
      </c>
      <c r="B22" s="16"/>
      <c r="C22" s="9"/>
      <c r="D22" s="9"/>
      <c r="E22" s="9"/>
    </row>
    <row r="23" spans="1:5" x14ac:dyDescent="0.25">
      <c r="A23" s="9">
        <v>22</v>
      </c>
      <c r="B23" s="16"/>
      <c r="C23" s="9"/>
      <c r="D23" s="9"/>
      <c r="E23" s="9"/>
    </row>
    <row r="24" spans="1:5" x14ac:dyDescent="0.25">
      <c r="A24" s="9">
        <v>23</v>
      </c>
      <c r="B24" s="16"/>
      <c r="C24" s="9"/>
      <c r="D24" s="9"/>
      <c r="E24" s="9"/>
    </row>
    <row r="25" spans="1:5" x14ac:dyDescent="0.25">
      <c r="A25" s="9">
        <v>24</v>
      </c>
      <c r="B25" s="16"/>
      <c r="C25" s="9"/>
      <c r="D25" s="9"/>
      <c r="E25" s="9"/>
    </row>
    <row r="26" spans="1:5" x14ac:dyDescent="0.25">
      <c r="A26" s="9">
        <v>25</v>
      </c>
      <c r="B26" s="16"/>
      <c r="C26" s="9"/>
      <c r="D26" s="9"/>
      <c r="E26"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ED1653"/>
  </sheetPr>
  <dimension ref="B1:D7"/>
  <sheetViews>
    <sheetView showGridLines="0" showRowColHeaders="0" zoomScaleNormal="100" workbookViewId="0">
      <selection activeCell="B3" sqref="B3:D3"/>
    </sheetView>
  </sheetViews>
  <sheetFormatPr defaultRowHeight="15" x14ac:dyDescent="0.25"/>
  <cols>
    <col min="1" max="1" width="2.28515625" customWidth="1"/>
    <col min="2" max="2" width="89" bestFit="1" customWidth="1"/>
    <col min="3" max="3" width="31.28515625" bestFit="1" customWidth="1"/>
    <col min="4" max="4" width="71.28515625" customWidth="1"/>
    <col min="14" max="14" width="44.28515625" bestFit="1" customWidth="1"/>
  </cols>
  <sheetData>
    <row r="1" spans="2:4" x14ac:dyDescent="0.25">
      <c r="B1" s="6"/>
      <c r="C1" s="6"/>
      <c r="D1" s="6"/>
    </row>
    <row r="2" spans="2:4" ht="18" x14ac:dyDescent="0.25">
      <c r="B2" s="425" t="s">
        <v>701</v>
      </c>
      <c r="C2" s="425"/>
      <c r="D2" s="425"/>
    </row>
    <row r="3" spans="2:4" ht="47.25" customHeight="1" x14ac:dyDescent="0.25">
      <c r="B3" s="424" t="s">
        <v>13</v>
      </c>
      <c r="C3" s="424"/>
      <c r="D3" s="424"/>
    </row>
    <row r="4" spans="2:4" ht="68.25" customHeight="1" x14ac:dyDescent="0.25">
      <c r="B4" s="424" t="s">
        <v>736</v>
      </c>
      <c r="C4" s="424"/>
      <c r="D4" s="424"/>
    </row>
    <row r="5" spans="2:4" x14ac:dyDescent="0.25">
      <c r="B5" s="6"/>
      <c r="C5" s="6"/>
      <c r="D5" s="6"/>
    </row>
    <row r="6" spans="2:4" ht="18" x14ac:dyDescent="0.25">
      <c r="B6" s="425" t="s">
        <v>634</v>
      </c>
      <c r="C6" s="425"/>
      <c r="D6" s="425"/>
    </row>
    <row r="7" spans="2:4" ht="18" customHeight="1" x14ac:dyDescent="0.25">
      <c r="B7" s="7" t="s">
        <v>702</v>
      </c>
      <c r="C7" s="423" t="s">
        <v>14</v>
      </c>
      <c r="D7" s="424"/>
    </row>
  </sheetData>
  <sheetProtection algorithmName="SHA-512" hashValue="krO0z5WGZbDW4DmUvVKTzmBFj94On9wc5Kqg7Rb9ozK8qlgsIyPOGhkzlCRltPf/Yd6dAUgmlG2HYn0OfYUIsQ==" saltValue="iLP2yfKt1wAID2jKvXkqpA==" spinCount="100000" sheet="1" objects="1" scenarios="1"/>
  <mergeCells count="5">
    <mergeCell ref="C7:D7"/>
    <mergeCell ref="B3:D3"/>
    <mergeCell ref="B2:D2"/>
    <mergeCell ref="B6:D6"/>
    <mergeCell ref="B4:D4"/>
  </mergeCells>
  <hyperlinks>
    <hyperlink ref="C7" r:id="rId1" xr:uid="{00000000-0004-0000-0100-000003000000}"/>
  </hyperlinks>
  <pageMargins left="0.7" right="0.7" top="0.75" bottom="0.75" header="0.3" footer="0.3"/>
  <pageSetup scale="68" orientation="landscape" verticalDpi="1200"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84F58-2D6F-46B0-8EAD-1898878BFA08}">
  <sheetPr>
    <tabColor theme="0" tint="-0.249977111117893"/>
  </sheetPr>
  <dimension ref="B4:I12"/>
  <sheetViews>
    <sheetView showGridLines="0" showRowColHeaders="0" zoomScaleNormal="100" workbookViewId="0">
      <selection activeCell="C5" sqref="C5"/>
    </sheetView>
  </sheetViews>
  <sheetFormatPr defaultRowHeight="15" x14ac:dyDescent="0.25"/>
  <cols>
    <col min="2" max="2" width="28" bestFit="1" customWidth="1"/>
    <col min="3" max="3" width="20" customWidth="1"/>
    <col min="4" max="9" width="16.140625" customWidth="1"/>
    <col min="10" max="11" width="14.7109375" customWidth="1"/>
  </cols>
  <sheetData>
    <row r="4" spans="2:9" x14ac:dyDescent="0.25">
      <c r="B4" s="184" t="s">
        <v>635</v>
      </c>
      <c r="C4" s="185"/>
    </row>
    <row r="5" spans="2:9" x14ac:dyDescent="0.25">
      <c r="B5" s="14" t="s">
        <v>562</v>
      </c>
      <c r="C5" s="361"/>
    </row>
    <row r="6" spans="2:9" x14ac:dyDescent="0.25">
      <c r="B6" s="14" t="s">
        <v>563</v>
      </c>
      <c r="C6" s="361"/>
    </row>
    <row r="7" spans="2:9" x14ac:dyDescent="0.25">
      <c r="B7" s="14" t="s">
        <v>564</v>
      </c>
      <c r="C7" s="361"/>
    </row>
    <row r="9" spans="2:9" ht="25.5" x14ac:dyDescent="0.25">
      <c r="B9" s="186" t="s">
        <v>636</v>
      </c>
      <c r="C9" s="186" t="s">
        <v>637</v>
      </c>
      <c r="D9" s="186" t="s">
        <v>121</v>
      </c>
      <c r="E9" s="186" t="s">
        <v>639</v>
      </c>
      <c r="F9" s="186" t="s">
        <v>640</v>
      </c>
      <c r="G9" s="186" t="s">
        <v>641</v>
      </c>
      <c r="H9" s="186" t="s">
        <v>642</v>
      </c>
      <c r="I9" s="186" t="s">
        <v>643</v>
      </c>
    </row>
    <row r="10" spans="2:9" x14ac:dyDescent="0.25">
      <c r="B10" s="362" t="s">
        <v>20</v>
      </c>
      <c r="C10" s="363">
        <f>SUM(HVAC!J1,Refrigeration!J1,'Food service'!H1,Misc.!H1)</f>
        <v>0</v>
      </c>
      <c r="D10" s="363">
        <f>IF(AND(Subtotal_Incentive&gt;Value_Max_Incentive,$C$12&gt;Value_Max_Incentive),Value_Max_Incentive*(Subtotal_PrescriptiveIncentive/Subtotal_Incentive),IF(AND(Subtotal_Incentive&gt;Total_ProjectCost,Total_ProjectCost&lt;Value_Max_Incentive),Total_ProjectCost*(Subtotal_PrescriptiveIncentive/Subtotal_Incentive),Subtotal_PrescriptiveIncentive))</f>
        <v>0</v>
      </c>
      <c r="E10" s="364">
        <f>SUM(HVAC!N1,Refrigeration!N1,'Food service'!L1,Misc.!L1)</f>
        <v>0</v>
      </c>
      <c r="F10" s="363">
        <f>SUM(HVAC!O1,Refrigeration!O1,'Food service'!M1,Misc.!M1)</f>
        <v>0</v>
      </c>
      <c r="G10" s="365">
        <f>SUM(HVAC!P1,Refrigeration!P1,'Food service'!N1,Misc.!N1)</f>
        <v>0</v>
      </c>
      <c r="H10" s="363">
        <f>IFERROR(C10-D10,"")</f>
        <v>0</v>
      </c>
      <c r="I10" s="364" t="str">
        <f>IFERROR(H10/F10,"")</f>
        <v/>
      </c>
    </row>
    <row r="11" spans="2:9" x14ac:dyDescent="0.25">
      <c r="B11" s="362" t="s">
        <v>21</v>
      </c>
      <c r="C11" s="363">
        <f>Custom!G5</f>
        <v>0</v>
      </c>
      <c r="D11" s="363">
        <f>IF(AND(Subtotal_Incentive&gt;Value_Max_Incentive,Total_ProjectCost&gt;Value_Max_Incentive),Value_Max_Incentive*(Subtotal_CustomIncentive/Subtotal_Incentive),IF(AND(Subtotal_Incentive&gt;Total_ProjectCost,Total_ProjectCost&lt;Value_Max_Incentive),Total_ProjectCost*(Subtotal_CustomIncentive/Subtotal_Incentive),Subtotal_CustomIncentive))</f>
        <v>0</v>
      </c>
      <c r="E11" s="364">
        <f>Custom!G3</f>
        <v>0</v>
      </c>
      <c r="F11" s="363">
        <f>Custom!G4</f>
        <v>0</v>
      </c>
      <c r="G11" s="365">
        <f>Custom!G2</f>
        <v>0</v>
      </c>
      <c r="H11" s="363">
        <f>IFERROR(C11-D11,"")</f>
        <v>0</v>
      </c>
      <c r="I11" s="364" t="str">
        <f>IFERROR(H11/F11,"")</f>
        <v/>
      </c>
    </row>
    <row r="12" spans="2:9" x14ac:dyDescent="0.25">
      <c r="B12" s="366" t="s">
        <v>22</v>
      </c>
      <c r="C12" s="367">
        <f>SUM(C10:C11,C5:C7)</f>
        <v>0</v>
      </c>
      <c r="D12" s="367">
        <f>MIN(SUM(D10:D11),Value_Max_Incentive,Total_ProjectCost)</f>
        <v>0</v>
      </c>
      <c r="E12" s="368">
        <f t="shared" ref="E12:G12" si="0">SUM(E10:E11)</f>
        <v>0</v>
      </c>
      <c r="F12" s="367">
        <f t="shared" si="0"/>
        <v>0</v>
      </c>
      <c r="G12" s="369">
        <f t="shared" si="0"/>
        <v>0</v>
      </c>
      <c r="H12" s="367">
        <f>IFERROR(C12-D12,"")</f>
        <v>0</v>
      </c>
      <c r="I12" s="368" t="str">
        <f>IFERROR(H12/F12,"")</f>
        <v/>
      </c>
    </row>
  </sheetData>
  <sheetProtection algorithmName="SHA-512" hashValue="4CNq50JE4TU+wL7bg/5PB9A6fNLatdazldWePVRANC5ND59D+pnqSNjCdMZw7hINmPPri78NAj2qGl/P3HNkYg==" saltValue="EUqD0QyGSRw2bbdnMYAZrw==" spinCount="100000" sheet="1" objects="1" scenario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249977111117893"/>
  </sheetPr>
  <dimension ref="B1:R50"/>
  <sheetViews>
    <sheetView showGridLines="0" showRowColHeaders="0" zoomScaleNormal="100" workbookViewId="0">
      <selection activeCell="D3" sqref="D3"/>
    </sheetView>
  </sheetViews>
  <sheetFormatPr defaultColWidth="9.140625" defaultRowHeight="14.25" x14ac:dyDescent="0.25"/>
  <cols>
    <col min="1" max="1" width="2.140625" style="328" customWidth="1"/>
    <col min="2" max="2" width="11.5703125" style="328" customWidth="1"/>
    <col min="3" max="3" width="15.85546875" style="328" customWidth="1"/>
    <col min="4" max="4" width="102.140625" style="339" bestFit="1" customWidth="1"/>
    <col min="5" max="5" width="17.5703125" style="339" customWidth="1"/>
    <col min="6" max="6" width="19.7109375" style="339" bestFit="1" customWidth="1"/>
    <col min="7" max="7" width="20" style="339" bestFit="1" customWidth="1"/>
    <col min="8" max="8" width="12.28515625" style="339" customWidth="1"/>
    <col min="9" max="9" width="9.5703125" style="339" bestFit="1" customWidth="1"/>
    <col min="10" max="10" width="20.7109375" style="328" bestFit="1" customWidth="1"/>
    <col min="11" max="11" width="14.28515625" style="328" bestFit="1" customWidth="1"/>
    <col min="12" max="12" width="10.140625" style="328" bestFit="1" customWidth="1"/>
    <col min="13" max="13" width="16.140625" style="328" customWidth="1"/>
    <col min="14" max="14" width="16.7109375" style="328" bestFit="1" customWidth="1"/>
    <col min="15" max="15" width="15.42578125" style="328" bestFit="1" customWidth="1"/>
    <col min="16" max="16" width="14.85546875" style="328" bestFit="1" customWidth="1"/>
    <col min="17" max="18" width="20.7109375" style="328" customWidth="1"/>
    <col min="19" max="16384" width="9.140625" style="328"/>
  </cols>
  <sheetData>
    <row r="1" spans="2:18" s="312" customFormat="1" ht="15.75" x14ac:dyDescent="0.25">
      <c r="J1" s="313">
        <f>SUM(HVAC!$J$3:$J$48)</f>
        <v>0</v>
      </c>
      <c r="M1" s="313">
        <f>SUM($M$3:$M$48)</f>
        <v>0</v>
      </c>
      <c r="N1" s="314">
        <f>SUM(HVAC!$N$3:$N$48)</f>
        <v>0</v>
      </c>
      <c r="O1" s="313">
        <f>SUM(HVAC!$O$3:$O$48)</f>
        <v>0</v>
      </c>
      <c r="P1" s="314">
        <f>SUM(HVAC!$P$3:$P$48)</f>
        <v>0</v>
      </c>
      <c r="Q1" s="315">
        <f>J1-M1</f>
        <v>0</v>
      </c>
      <c r="R1" s="316" t="str">
        <f>IFERROR(Q1/O1,"")</f>
        <v/>
      </c>
    </row>
    <row r="2" spans="2:18" s="321" customFormat="1" ht="53.25" customHeight="1" x14ac:dyDescent="0.25">
      <c r="B2" s="317" t="s">
        <v>649</v>
      </c>
      <c r="C2" s="317" t="s">
        <v>24</v>
      </c>
      <c r="D2" s="318" t="s">
        <v>644</v>
      </c>
      <c r="E2" s="317" t="s">
        <v>704</v>
      </c>
      <c r="F2" s="317" t="s">
        <v>706</v>
      </c>
      <c r="G2" s="317" t="s">
        <v>746</v>
      </c>
      <c r="H2" s="317"/>
      <c r="I2" s="317" t="s">
        <v>28</v>
      </c>
      <c r="J2" s="319" t="s">
        <v>15</v>
      </c>
      <c r="K2" s="317" t="s">
        <v>29</v>
      </c>
      <c r="L2" s="317" t="s">
        <v>30</v>
      </c>
      <c r="M2" s="320" t="s">
        <v>489</v>
      </c>
      <c r="N2" s="317" t="s">
        <v>31</v>
      </c>
      <c r="O2" s="317" t="s">
        <v>16</v>
      </c>
      <c r="P2" s="317" t="s">
        <v>17</v>
      </c>
      <c r="Q2" s="317" t="s">
        <v>18</v>
      </c>
      <c r="R2" s="317" t="s">
        <v>19</v>
      </c>
    </row>
    <row r="3" spans="2:18" ht="15" x14ac:dyDescent="0.25">
      <c r="B3" s="322" t="str">
        <f>IF(ISBLANK($E3)=TRUE,"",VLOOKUP($D3,Table_Measures,5,FALSE))</f>
        <v/>
      </c>
      <c r="C3" s="323" t="s">
        <v>743</v>
      </c>
      <c r="D3" s="370" t="s">
        <v>371</v>
      </c>
      <c r="E3" s="371"/>
      <c r="F3" s="372"/>
      <c r="G3" s="372"/>
      <c r="H3" s="324"/>
      <c r="I3" s="373"/>
      <c r="J3" s="374"/>
      <c r="K3" s="326" t="str">
        <f t="shared" ref="K3:K50" si="0">IFERROR(VLOOKUP($D3,Table_Measures,4,FALSE),"")</f>
        <v/>
      </c>
      <c r="L3" s="327" t="str">
        <f t="shared" ref="L3:L50" si="1">IFERROR(VLOOKUP($D3,Table_Measures,IF(Input_ProgramType="Small Commercial Solutions",2,IF(Input_ProgramType="Large Commercial &amp; Industrial Solutions",3)),0),"")</f>
        <v/>
      </c>
      <c r="M3" s="332" t="str">
        <f>IF(ISBLANK($I3)=TRUE,"",$L3*$I3*$E3)</f>
        <v/>
      </c>
      <c r="N3" s="333" t="str">
        <f>IFERROR('Savings Lookups'!C3*$I3,"")</f>
        <v/>
      </c>
      <c r="O3" s="334" t="str">
        <f>IF(HVAC!$N3="","",HVAC!$N3*Input_AvgkWhRate)</f>
        <v/>
      </c>
      <c r="P3" s="335" t="str">
        <f>IFERROR('Savings Lookups'!D3*$I3,"")</f>
        <v/>
      </c>
      <c r="Q3" s="334" t="str">
        <f>IF(HVAC!$J3="","",HVAC!$J3-HVAC!$M3)</f>
        <v/>
      </c>
      <c r="R3" s="336" t="str">
        <f>IFERROR(HVAC!$Q3/HVAC!$O3,"")</f>
        <v/>
      </c>
    </row>
    <row r="4" spans="2:18" ht="15" x14ac:dyDescent="0.25">
      <c r="B4" s="322" t="str">
        <f t="shared" ref="B4:B19" si="2">IF(ISBLANK($E4)=TRUE,"",VLOOKUP($D4,Table_Measures,5,FALSE))</f>
        <v/>
      </c>
      <c r="C4" s="323" t="s">
        <v>743</v>
      </c>
      <c r="D4" s="370" t="s">
        <v>371</v>
      </c>
      <c r="E4" s="371"/>
      <c r="F4" s="372"/>
      <c r="G4" s="372"/>
      <c r="H4" s="324"/>
      <c r="I4" s="373"/>
      <c r="J4" s="374"/>
      <c r="K4" s="326" t="str">
        <f t="shared" si="0"/>
        <v/>
      </c>
      <c r="L4" s="327" t="str">
        <f t="shared" si="1"/>
        <v/>
      </c>
      <c r="M4" s="332" t="str">
        <f t="shared" ref="M4:M19" si="3">IF(ISBLANK($I4)=TRUE,"",$L4*$I4*$E4)</f>
        <v/>
      </c>
      <c r="N4" s="333" t="str">
        <f>IFERROR('Savings Lookups'!C4*$I4,"")</f>
        <v/>
      </c>
      <c r="O4" s="334" t="str">
        <f>IF(HVAC!$N4="","",HVAC!$N4*Input_AvgkWhRate)</f>
        <v/>
      </c>
      <c r="P4" s="335" t="str">
        <f>IFERROR('Savings Lookups'!D4*$I4,"")</f>
        <v/>
      </c>
      <c r="Q4" s="334" t="str">
        <f>IF(HVAC!$J4="","",HVAC!$J4-HVAC!$M4)</f>
        <v/>
      </c>
      <c r="R4" s="336" t="str">
        <f>IFERROR(HVAC!$Q4/HVAC!$O4,"")</f>
        <v/>
      </c>
    </row>
    <row r="5" spans="2:18" ht="15" x14ac:dyDescent="0.25">
      <c r="B5" s="322" t="str">
        <f t="shared" si="2"/>
        <v/>
      </c>
      <c r="C5" s="323" t="s">
        <v>743</v>
      </c>
      <c r="D5" s="370" t="s">
        <v>371</v>
      </c>
      <c r="E5" s="371"/>
      <c r="F5" s="372"/>
      <c r="G5" s="372"/>
      <c r="H5" s="324"/>
      <c r="I5" s="373"/>
      <c r="J5" s="374"/>
      <c r="K5" s="326" t="str">
        <f t="shared" si="0"/>
        <v/>
      </c>
      <c r="L5" s="327" t="str">
        <f t="shared" si="1"/>
        <v/>
      </c>
      <c r="M5" s="332" t="str">
        <f t="shared" si="3"/>
        <v/>
      </c>
      <c r="N5" s="333" t="str">
        <f>IFERROR('Savings Lookups'!C5*$I5,"")</f>
        <v/>
      </c>
      <c r="O5" s="334" t="str">
        <f>IF(HVAC!$N5="","",HVAC!$N5*Input_AvgkWhRate)</f>
        <v/>
      </c>
      <c r="P5" s="335" t="str">
        <f>IFERROR('Savings Lookups'!D5*$I5,"")</f>
        <v/>
      </c>
      <c r="Q5" s="334" t="str">
        <f>IF(HVAC!$J5="","",HVAC!$J5-HVAC!$M5)</f>
        <v/>
      </c>
      <c r="R5" s="336" t="str">
        <f>IFERROR(HVAC!$Q5/HVAC!$O5,"")</f>
        <v/>
      </c>
    </row>
    <row r="6" spans="2:18" ht="15" x14ac:dyDescent="0.25">
      <c r="B6" s="322" t="str">
        <f t="shared" si="2"/>
        <v/>
      </c>
      <c r="C6" s="323" t="s">
        <v>743</v>
      </c>
      <c r="D6" s="370" t="s">
        <v>371</v>
      </c>
      <c r="E6" s="371"/>
      <c r="F6" s="372"/>
      <c r="G6" s="372"/>
      <c r="H6" s="324"/>
      <c r="I6" s="373"/>
      <c r="J6" s="374"/>
      <c r="K6" s="326" t="str">
        <f t="shared" si="0"/>
        <v/>
      </c>
      <c r="L6" s="327" t="str">
        <f t="shared" si="1"/>
        <v/>
      </c>
      <c r="M6" s="332" t="str">
        <f t="shared" si="3"/>
        <v/>
      </c>
      <c r="N6" s="333" t="str">
        <f>IFERROR('Savings Lookups'!C6*$I6,"")</f>
        <v/>
      </c>
      <c r="O6" s="334" t="str">
        <f>IF(HVAC!$N6="","",HVAC!$N6*Input_AvgkWhRate)</f>
        <v/>
      </c>
      <c r="P6" s="335" t="str">
        <f>IFERROR('Savings Lookups'!D6*$I6,"")</f>
        <v/>
      </c>
      <c r="Q6" s="334" t="str">
        <f>IF(HVAC!$J6="","",HVAC!$J6-HVAC!$M6)</f>
        <v/>
      </c>
      <c r="R6" s="336" t="str">
        <f>IFERROR(HVAC!$Q6/HVAC!$O6,"")</f>
        <v/>
      </c>
    </row>
    <row r="7" spans="2:18" ht="15" x14ac:dyDescent="0.25">
      <c r="B7" s="322" t="str">
        <f t="shared" si="2"/>
        <v/>
      </c>
      <c r="C7" s="323" t="s">
        <v>743</v>
      </c>
      <c r="D7" s="370" t="s">
        <v>371</v>
      </c>
      <c r="E7" s="371"/>
      <c r="F7" s="372"/>
      <c r="G7" s="372"/>
      <c r="H7" s="324"/>
      <c r="I7" s="373"/>
      <c r="J7" s="374"/>
      <c r="K7" s="326" t="str">
        <f t="shared" si="0"/>
        <v/>
      </c>
      <c r="L7" s="327" t="str">
        <f t="shared" si="1"/>
        <v/>
      </c>
      <c r="M7" s="332" t="str">
        <f t="shared" si="3"/>
        <v/>
      </c>
      <c r="N7" s="333" t="str">
        <f>IFERROR('Savings Lookups'!C7*$I7,"")</f>
        <v/>
      </c>
      <c r="O7" s="334" t="str">
        <f>IF(HVAC!$N7="","",HVAC!$N7*Input_AvgkWhRate)</f>
        <v/>
      </c>
      <c r="P7" s="335" t="str">
        <f>IFERROR('Savings Lookups'!D7*$I7,"")</f>
        <v/>
      </c>
      <c r="Q7" s="334" t="str">
        <f>IF(HVAC!$J7="","",HVAC!$J7-HVAC!$M7)</f>
        <v/>
      </c>
      <c r="R7" s="336" t="str">
        <f>IFERROR(HVAC!$Q7/HVAC!$O7,"")</f>
        <v/>
      </c>
    </row>
    <row r="8" spans="2:18" ht="15" x14ac:dyDescent="0.25">
      <c r="B8" s="322" t="str">
        <f t="shared" si="2"/>
        <v/>
      </c>
      <c r="C8" s="323" t="s">
        <v>743</v>
      </c>
      <c r="D8" s="370" t="s">
        <v>371</v>
      </c>
      <c r="E8" s="371"/>
      <c r="F8" s="372"/>
      <c r="G8" s="372"/>
      <c r="H8" s="324"/>
      <c r="I8" s="373"/>
      <c r="J8" s="374"/>
      <c r="K8" s="326" t="str">
        <f t="shared" si="0"/>
        <v/>
      </c>
      <c r="L8" s="327" t="str">
        <f t="shared" si="1"/>
        <v/>
      </c>
      <c r="M8" s="332" t="str">
        <f t="shared" si="3"/>
        <v/>
      </c>
      <c r="N8" s="333" t="str">
        <f>IFERROR('Savings Lookups'!C8*$I8,"")</f>
        <v/>
      </c>
      <c r="O8" s="334" t="str">
        <f>IF(HVAC!$N8="","",HVAC!$N8*Input_AvgkWhRate)</f>
        <v/>
      </c>
      <c r="P8" s="335" t="str">
        <f>IFERROR('Savings Lookups'!D8*$I8,"")</f>
        <v/>
      </c>
      <c r="Q8" s="334" t="str">
        <f>IF(HVAC!$J8="","",HVAC!$J8-HVAC!$M8)</f>
        <v/>
      </c>
      <c r="R8" s="336" t="str">
        <f>IFERROR(HVAC!$Q8/HVAC!$O8,"")</f>
        <v/>
      </c>
    </row>
    <row r="9" spans="2:18" ht="15" x14ac:dyDescent="0.25">
      <c r="B9" s="322" t="str">
        <f t="shared" si="2"/>
        <v/>
      </c>
      <c r="C9" s="323" t="s">
        <v>743</v>
      </c>
      <c r="D9" s="370" t="s">
        <v>371</v>
      </c>
      <c r="E9" s="371"/>
      <c r="F9" s="372"/>
      <c r="G9" s="372"/>
      <c r="H9" s="324"/>
      <c r="I9" s="373"/>
      <c r="J9" s="374"/>
      <c r="K9" s="326" t="str">
        <f t="shared" si="0"/>
        <v/>
      </c>
      <c r="L9" s="327" t="str">
        <f t="shared" si="1"/>
        <v/>
      </c>
      <c r="M9" s="332" t="str">
        <f t="shared" si="3"/>
        <v/>
      </c>
      <c r="N9" s="333" t="str">
        <f>IFERROR('Savings Lookups'!C9*$I9,"")</f>
        <v/>
      </c>
      <c r="O9" s="334" t="str">
        <f>IF(HVAC!$N9="","",HVAC!$N9*Input_AvgkWhRate)</f>
        <v/>
      </c>
      <c r="P9" s="335" t="str">
        <f>IFERROR('Savings Lookups'!D9*$I9,"")</f>
        <v/>
      </c>
      <c r="Q9" s="334" t="str">
        <f>IF(HVAC!$J9="","",HVAC!$J9-HVAC!$M9)</f>
        <v/>
      </c>
      <c r="R9" s="336" t="str">
        <f>IFERROR(HVAC!$Q9/HVAC!$O9,"")</f>
        <v/>
      </c>
    </row>
    <row r="10" spans="2:18" ht="15" x14ac:dyDescent="0.25">
      <c r="B10" s="322" t="str">
        <f t="shared" si="2"/>
        <v/>
      </c>
      <c r="C10" s="323" t="s">
        <v>743</v>
      </c>
      <c r="D10" s="370" t="s">
        <v>371</v>
      </c>
      <c r="E10" s="371"/>
      <c r="F10" s="372"/>
      <c r="G10" s="372"/>
      <c r="H10" s="324"/>
      <c r="I10" s="373"/>
      <c r="J10" s="374"/>
      <c r="K10" s="326" t="str">
        <f t="shared" si="0"/>
        <v/>
      </c>
      <c r="L10" s="327" t="str">
        <f t="shared" si="1"/>
        <v/>
      </c>
      <c r="M10" s="332" t="str">
        <f t="shared" si="3"/>
        <v/>
      </c>
      <c r="N10" s="333" t="str">
        <f>IFERROR('Savings Lookups'!C10*$I10,"")</f>
        <v/>
      </c>
      <c r="O10" s="334" t="str">
        <f>IF(HVAC!$N10="","",HVAC!$N10*Input_AvgkWhRate)</f>
        <v/>
      </c>
      <c r="P10" s="335" t="str">
        <f>IFERROR('Savings Lookups'!D10*$I10,"")</f>
        <v/>
      </c>
      <c r="Q10" s="334" t="str">
        <f>IF(HVAC!$J10="","",HVAC!$J10-HVAC!$M10)</f>
        <v/>
      </c>
      <c r="R10" s="336" t="str">
        <f>IFERROR(HVAC!$Q10/HVAC!$O10,"")</f>
        <v/>
      </c>
    </row>
    <row r="11" spans="2:18" s="321" customFormat="1" ht="45" x14ac:dyDescent="0.25">
      <c r="B11" s="317" t="s">
        <v>649</v>
      </c>
      <c r="C11" s="317" t="s">
        <v>24</v>
      </c>
      <c r="D11" s="318" t="s">
        <v>645</v>
      </c>
      <c r="E11" s="317" t="s">
        <v>704</v>
      </c>
      <c r="F11" s="317" t="s">
        <v>706</v>
      </c>
      <c r="G11" s="317" t="s">
        <v>26</v>
      </c>
      <c r="H11" s="317" t="s">
        <v>27</v>
      </c>
      <c r="I11" s="317" t="s">
        <v>28</v>
      </c>
      <c r="J11" s="319" t="s">
        <v>15</v>
      </c>
      <c r="K11" s="317" t="s">
        <v>29</v>
      </c>
      <c r="L11" s="317" t="s">
        <v>30</v>
      </c>
      <c r="M11" s="320" t="s">
        <v>489</v>
      </c>
      <c r="N11" s="317" t="s">
        <v>31</v>
      </c>
      <c r="O11" s="317" t="s">
        <v>16</v>
      </c>
      <c r="P11" s="317" t="s">
        <v>17</v>
      </c>
      <c r="Q11" s="317" t="s">
        <v>18</v>
      </c>
      <c r="R11" s="317" t="s">
        <v>19</v>
      </c>
    </row>
    <row r="12" spans="2:18" ht="15" x14ac:dyDescent="0.25">
      <c r="B12" s="322" t="str">
        <f t="shared" si="2"/>
        <v/>
      </c>
      <c r="C12" s="323" t="s">
        <v>744</v>
      </c>
      <c r="D12" s="370" t="s">
        <v>372</v>
      </c>
      <c r="E12" s="371"/>
      <c r="F12" s="372"/>
      <c r="G12" s="372"/>
      <c r="H12" s="372"/>
      <c r="I12" s="373"/>
      <c r="J12" s="374"/>
      <c r="K12" s="326" t="str">
        <f t="shared" si="0"/>
        <v/>
      </c>
      <c r="L12" s="327" t="str">
        <f t="shared" si="1"/>
        <v/>
      </c>
      <c r="M12" s="332" t="str">
        <f>IF(ISBLANK($I12)=TRUE,"",$L12*$I12*$E12)</f>
        <v/>
      </c>
      <c r="N12" s="333" t="str">
        <f>IFERROR('Savings Lookups'!E14*$I12,"")</f>
        <v/>
      </c>
      <c r="O12" s="334" t="str">
        <f>IF(HVAC!$N12="","",HVAC!$N12*Input_AvgkWhRate)</f>
        <v/>
      </c>
      <c r="P12" s="335" t="str">
        <f>IFERROR('Savings Lookups'!F14*$I12,"")</f>
        <v/>
      </c>
      <c r="Q12" s="334" t="str">
        <f>IF(HVAC!$J12="","",HVAC!$J12-HVAC!$M12)</f>
        <v/>
      </c>
      <c r="R12" s="336" t="str">
        <f>IFERROR(HVAC!$Q12/HVAC!$O12,"")</f>
        <v/>
      </c>
    </row>
    <row r="13" spans="2:18" ht="15" x14ac:dyDescent="0.25">
      <c r="B13" s="322" t="str">
        <f t="shared" si="2"/>
        <v/>
      </c>
      <c r="C13" s="323" t="s">
        <v>744</v>
      </c>
      <c r="D13" s="370" t="s">
        <v>372</v>
      </c>
      <c r="E13" s="371"/>
      <c r="F13" s="372"/>
      <c r="G13" s="372"/>
      <c r="H13" s="372"/>
      <c r="I13" s="373"/>
      <c r="J13" s="374"/>
      <c r="K13" s="326" t="str">
        <f t="shared" si="0"/>
        <v/>
      </c>
      <c r="L13" s="327" t="str">
        <f t="shared" si="1"/>
        <v/>
      </c>
      <c r="M13" s="332" t="str">
        <f>IF(ISBLANK($I13)=TRUE,"",$L13*$I13*$E13)</f>
        <v/>
      </c>
      <c r="N13" s="333" t="str">
        <f>IFERROR('Savings Lookups'!E15*$I13,"")</f>
        <v/>
      </c>
      <c r="O13" s="334" t="str">
        <f>IF(HVAC!$N13="","",HVAC!$N13*Input_AvgkWhRate)</f>
        <v/>
      </c>
      <c r="P13" s="335" t="str">
        <f>IFERROR('Savings Lookups'!F15*$I13,"")</f>
        <v/>
      </c>
      <c r="Q13" s="334" t="str">
        <f>IF(HVAC!$J13="","",HVAC!$J13-HVAC!$M13)</f>
        <v/>
      </c>
      <c r="R13" s="336" t="str">
        <f>IFERROR(HVAC!$Q13/HVAC!$O13,"")</f>
        <v/>
      </c>
    </row>
    <row r="14" spans="2:18" ht="15" x14ac:dyDescent="0.25">
      <c r="B14" s="322" t="str">
        <f t="shared" si="2"/>
        <v/>
      </c>
      <c r="C14" s="323" t="s">
        <v>744</v>
      </c>
      <c r="D14" s="370" t="s">
        <v>372</v>
      </c>
      <c r="E14" s="371"/>
      <c r="F14" s="372"/>
      <c r="G14" s="372"/>
      <c r="H14" s="372"/>
      <c r="I14" s="373"/>
      <c r="J14" s="374"/>
      <c r="K14" s="326" t="str">
        <f t="shared" si="0"/>
        <v/>
      </c>
      <c r="L14" s="327" t="str">
        <f t="shared" si="1"/>
        <v/>
      </c>
      <c r="M14" s="332" t="str">
        <f>IF(ISBLANK($I14)=TRUE,"",$L14*$I14*$E14)</f>
        <v/>
      </c>
      <c r="N14" s="333" t="str">
        <f>IFERROR('Savings Lookups'!E16*$I14,"")</f>
        <v/>
      </c>
      <c r="O14" s="334" t="str">
        <f>IF(HVAC!$N14="","",HVAC!$N14*Input_AvgkWhRate)</f>
        <v/>
      </c>
      <c r="P14" s="335" t="str">
        <f>IFERROR('Savings Lookups'!F16*$I14,"")</f>
        <v/>
      </c>
      <c r="Q14" s="334" t="str">
        <f>IF(HVAC!$J14="","",HVAC!$J14-HVAC!$M14)</f>
        <v/>
      </c>
      <c r="R14" s="336" t="str">
        <f>IFERROR(HVAC!$Q14/HVAC!$O14,"")</f>
        <v/>
      </c>
    </row>
    <row r="15" spans="2:18" ht="15" x14ac:dyDescent="0.25">
      <c r="B15" s="322" t="str">
        <f>IF(ISBLANK($E15)=TRUE,"",VLOOKUP($D15,Table_Measures,5,FALSE))</f>
        <v/>
      </c>
      <c r="C15" s="323" t="s">
        <v>744</v>
      </c>
      <c r="D15" s="370" t="s">
        <v>372</v>
      </c>
      <c r="E15" s="371"/>
      <c r="F15" s="372"/>
      <c r="G15" s="372"/>
      <c r="H15" s="372"/>
      <c r="I15" s="373"/>
      <c r="J15" s="374"/>
      <c r="K15" s="326" t="str">
        <f t="shared" si="0"/>
        <v/>
      </c>
      <c r="L15" s="327" t="str">
        <f t="shared" si="1"/>
        <v/>
      </c>
      <c r="M15" s="332" t="str">
        <f t="shared" si="3"/>
        <v/>
      </c>
      <c r="N15" s="333" t="str">
        <f>IFERROR('Savings Lookups'!E17*$I15,"")</f>
        <v/>
      </c>
      <c r="O15" s="334" t="str">
        <f>IF(HVAC!$N15="","",HVAC!$N15*Input_AvgkWhRate)</f>
        <v/>
      </c>
      <c r="P15" s="335" t="str">
        <f>IFERROR('Savings Lookups'!F17*$I15,"")</f>
        <v/>
      </c>
      <c r="Q15" s="334" t="str">
        <f>IF(HVAC!$J15="","",HVAC!$J15-HVAC!$M15)</f>
        <v/>
      </c>
      <c r="R15" s="336" t="str">
        <f>IFERROR(HVAC!$Q15/HVAC!$O15,"")</f>
        <v/>
      </c>
    </row>
    <row r="16" spans="2:18" ht="15" x14ac:dyDescent="0.25">
      <c r="B16" s="322" t="str">
        <f>IF(ISBLANK($E16)=TRUE,"",VLOOKUP($D16,Table_Measures,5,FALSE))</f>
        <v/>
      </c>
      <c r="C16" s="323" t="s">
        <v>744</v>
      </c>
      <c r="D16" s="370" t="s">
        <v>372</v>
      </c>
      <c r="E16" s="371"/>
      <c r="F16" s="372"/>
      <c r="G16" s="372"/>
      <c r="H16" s="372"/>
      <c r="I16" s="373"/>
      <c r="J16" s="374"/>
      <c r="K16" s="326" t="str">
        <f t="shared" si="0"/>
        <v/>
      </c>
      <c r="L16" s="327" t="str">
        <f t="shared" si="1"/>
        <v/>
      </c>
      <c r="M16" s="332" t="str">
        <f t="shared" si="3"/>
        <v/>
      </c>
      <c r="N16" s="333" t="str">
        <f>IFERROR('Savings Lookups'!E18*$I16,"")</f>
        <v/>
      </c>
      <c r="O16" s="334" t="str">
        <f>IF(HVAC!$N16="","",HVAC!$N16*Input_AvgkWhRate)</f>
        <v/>
      </c>
      <c r="P16" s="335" t="str">
        <f>IFERROR('Savings Lookups'!F18*$I16,"")</f>
        <v/>
      </c>
      <c r="Q16" s="334" t="str">
        <f>IF(HVAC!$J16="","",HVAC!$J16-HVAC!$M16)</f>
        <v/>
      </c>
      <c r="R16" s="336" t="str">
        <f>IFERROR(HVAC!$Q16/HVAC!$O16,"")</f>
        <v/>
      </c>
    </row>
    <row r="17" spans="2:18" ht="15" x14ac:dyDescent="0.25">
      <c r="B17" s="322" t="str">
        <f t="shared" si="2"/>
        <v/>
      </c>
      <c r="C17" s="323" t="s">
        <v>744</v>
      </c>
      <c r="D17" s="370" t="s">
        <v>372</v>
      </c>
      <c r="E17" s="371"/>
      <c r="F17" s="372"/>
      <c r="G17" s="372"/>
      <c r="H17" s="372"/>
      <c r="I17" s="373"/>
      <c r="J17" s="374"/>
      <c r="K17" s="326" t="str">
        <f t="shared" si="0"/>
        <v/>
      </c>
      <c r="L17" s="327" t="str">
        <f t="shared" si="1"/>
        <v/>
      </c>
      <c r="M17" s="332" t="str">
        <f t="shared" si="3"/>
        <v/>
      </c>
      <c r="N17" s="333" t="str">
        <f>IFERROR('Savings Lookups'!E19*$I17,"")</f>
        <v/>
      </c>
      <c r="O17" s="334" t="str">
        <f>IF(HVAC!$N17="","",HVAC!$N17*Input_AvgkWhRate)</f>
        <v/>
      </c>
      <c r="P17" s="335" t="str">
        <f>IFERROR('Savings Lookups'!F19*$I17,"")</f>
        <v/>
      </c>
      <c r="Q17" s="334" t="str">
        <f>IF(HVAC!$J17="","",HVAC!$J17-HVAC!$M17)</f>
        <v/>
      </c>
      <c r="R17" s="336" t="str">
        <f>IFERROR(HVAC!$Q17/HVAC!$O17,"")</f>
        <v/>
      </c>
    </row>
    <row r="18" spans="2:18" ht="15" x14ac:dyDescent="0.25">
      <c r="B18" s="322" t="str">
        <f t="shared" si="2"/>
        <v/>
      </c>
      <c r="C18" s="323" t="s">
        <v>744</v>
      </c>
      <c r="D18" s="370" t="s">
        <v>372</v>
      </c>
      <c r="E18" s="371"/>
      <c r="F18" s="372"/>
      <c r="G18" s="372"/>
      <c r="H18" s="372"/>
      <c r="I18" s="373"/>
      <c r="J18" s="374"/>
      <c r="K18" s="326" t="str">
        <f t="shared" si="0"/>
        <v/>
      </c>
      <c r="L18" s="327" t="str">
        <f t="shared" si="1"/>
        <v/>
      </c>
      <c r="M18" s="332" t="str">
        <f t="shared" si="3"/>
        <v/>
      </c>
      <c r="N18" s="333" t="str">
        <f>IFERROR('Savings Lookups'!E20*$I18,"")</f>
        <v/>
      </c>
      <c r="O18" s="334" t="str">
        <f>IF(HVAC!$N18="","",HVAC!$N18*Input_AvgkWhRate)</f>
        <v/>
      </c>
      <c r="P18" s="335" t="str">
        <f>IFERROR('Savings Lookups'!F20*$I18,"")</f>
        <v/>
      </c>
      <c r="Q18" s="334" t="str">
        <f>IF(HVAC!$J18="","",HVAC!$J18-HVAC!$M18)</f>
        <v/>
      </c>
      <c r="R18" s="336" t="str">
        <f>IFERROR(HVAC!$Q18/HVAC!$O18,"")</f>
        <v/>
      </c>
    </row>
    <row r="19" spans="2:18" ht="15" x14ac:dyDescent="0.25">
      <c r="B19" s="322" t="str">
        <f t="shared" si="2"/>
        <v/>
      </c>
      <c r="C19" s="323" t="s">
        <v>744</v>
      </c>
      <c r="D19" s="370" t="s">
        <v>372</v>
      </c>
      <c r="E19" s="371"/>
      <c r="F19" s="372"/>
      <c r="G19" s="372"/>
      <c r="H19" s="372"/>
      <c r="I19" s="373"/>
      <c r="J19" s="374"/>
      <c r="K19" s="326" t="str">
        <f t="shared" si="0"/>
        <v/>
      </c>
      <c r="L19" s="327" t="str">
        <f t="shared" si="1"/>
        <v/>
      </c>
      <c r="M19" s="332" t="str">
        <f t="shared" si="3"/>
        <v/>
      </c>
      <c r="N19" s="333" t="str">
        <f>IFERROR('Savings Lookups'!E21*$I19,"")</f>
        <v/>
      </c>
      <c r="O19" s="334" t="str">
        <f>IF(HVAC!$N19="","",HVAC!$N19*Input_AvgkWhRate)</f>
        <v/>
      </c>
      <c r="P19" s="335" t="str">
        <f>IFERROR('Savings Lookups'!F21*$I19,"")</f>
        <v/>
      </c>
      <c r="Q19" s="334" t="str">
        <f>IF(HVAC!$J19="","",HVAC!$J19-HVAC!$M19)</f>
        <v/>
      </c>
      <c r="R19" s="336" t="str">
        <f>IFERROR(HVAC!$Q19/HVAC!$O19,"")</f>
        <v/>
      </c>
    </row>
    <row r="20" spans="2:18" s="321" customFormat="1" ht="72.75" hidden="1" customHeight="1" x14ac:dyDescent="0.25">
      <c r="B20" s="317" t="s">
        <v>649</v>
      </c>
      <c r="C20" s="317" t="s">
        <v>24</v>
      </c>
      <c r="D20" s="318" t="s">
        <v>646</v>
      </c>
      <c r="E20" s="317" t="s">
        <v>705</v>
      </c>
      <c r="F20" s="317"/>
      <c r="G20" s="317"/>
      <c r="H20" s="317"/>
      <c r="I20" s="317" t="s">
        <v>35</v>
      </c>
      <c r="J20" s="319" t="s">
        <v>15</v>
      </c>
      <c r="K20" s="317" t="s">
        <v>29</v>
      </c>
      <c r="L20" s="317" t="s">
        <v>30</v>
      </c>
      <c r="M20" s="320" t="s">
        <v>489</v>
      </c>
      <c r="N20" s="317" t="s">
        <v>31</v>
      </c>
      <c r="O20" s="317" t="s">
        <v>16</v>
      </c>
      <c r="P20" s="317" t="s">
        <v>17</v>
      </c>
      <c r="Q20" s="317" t="s">
        <v>18</v>
      </c>
      <c r="R20" s="317" t="s">
        <v>19</v>
      </c>
    </row>
    <row r="21" spans="2:18" ht="15" hidden="1" x14ac:dyDescent="0.25">
      <c r="B21" s="322" t="str">
        <f>IF(ISBLANK($E21)=TRUE,"",VLOOKUP($D21,Table_Measures,5,FALSE))</f>
        <v/>
      </c>
      <c r="C21" s="323" t="s">
        <v>745</v>
      </c>
      <c r="D21" s="329" t="s">
        <v>36</v>
      </c>
      <c r="E21" s="330"/>
      <c r="F21" s="324"/>
      <c r="G21" s="324"/>
      <c r="H21" s="324"/>
      <c r="I21" s="331">
        <f>E21</f>
        <v>0</v>
      </c>
      <c r="J21" s="325"/>
      <c r="K21" s="326" t="str">
        <f t="shared" si="0"/>
        <v/>
      </c>
      <c r="L21" s="327" t="str">
        <f>IFERROR(VLOOKUP($D21,Table_Measures,IF(Input_ProgramType="Small Commercial Solutions",2,IF(Input_ProgramType="Large Commercial &amp; Industrial Solutions",3)),0),"")</f>
        <v/>
      </c>
      <c r="M21" s="332" t="str">
        <f>IF(ISBLANK($E21)=TRUE,"",$L21*$E21)</f>
        <v/>
      </c>
      <c r="N21" s="333" t="str">
        <f>IF(ISBLANK($E21)=TRUE,"",VLOOKUP($D21,Table_ACTU,4,FALSE))</f>
        <v/>
      </c>
      <c r="O21" s="334" t="str">
        <f>IF(HVAC!$N21="","",HVAC!$N21*Input_AvgkWhRate)</f>
        <v/>
      </c>
      <c r="P21" s="335" t="str">
        <f>IF(ISBLANK($E21)=TRUE,"",VLOOKUP($D21,Table_ACTU,5,FALSE))</f>
        <v/>
      </c>
      <c r="Q21" s="334" t="str">
        <f>IF(HVAC!$J21="","",HVAC!$J21-HVAC!$M21)</f>
        <v/>
      </c>
      <c r="R21" s="336" t="str">
        <f>IFERROR(HVAC!$Q21/HVAC!$O21,"")</f>
        <v/>
      </c>
    </row>
    <row r="22" spans="2:18" ht="15" hidden="1" x14ac:dyDescent="0.25">
      <c r="B22" s="322" t="str">
        <f>IF(ISBLANK($E22)=TRUE,"",VLOOKUP($D22,Table_Measures,5,FALSE))</f>
        <v/>
      </c>
      <c r="C22" s="323" t="s">
        <v>745</v>
      </c>
      <c r="D22" s="329" t="s">
        <v>769</v>
      </c>
      <c r="E22" s="330"/>
      <c r="F22" s="324"/>
      <c r="G22" s="324"/>
      <c r="H22" s="324"/>
      <c r="I22" s="331">
        <f>E22</f>
        <v>0</v>
      </c>
      <c r="J22" s="325"/>
      <c r="K22" s="326" t="str">
        <f>IFERROR(VLOOKUP($D22,Table_Measures,4,FALSE),"")</f>
        <v/>
      </c>
      <c r="L22" s="327" t="str">
        <f t="shared" si="1"/>
        <v/>
      </c>
      <c r="M22" s="332" t="str">
        <f t="shared" ref="M22" si="4">IF(ISBLANK($E22)=TRUE,"",$L22*$E22)</f>
        <v/>
      </c>
      <c r="N22" s="333" t="str">
        <f>IF(ISBLANK($E22)=TRUE,"",VLOOKUP($D22,Table_ACTU,4,FALSE))</f>
        <v/>
      </c>
      <c r="O22" s="334" t="str">
        <f>IF(HVAC!$N22="","",HVAC!$N22*Input_AvgkWhRate)</f>
        <v/>
      </c>
      <c r="P22" s="335" t="str">
        <f>IF(ISBLANK($E22)=TRUE,"",VLOOKUP($D22,Table_ACTU,5,FALSE))</f>
        <v/>
      </c>
      <c r="Q22" s="334" t="str">
        <f>IF(HVAC!$J22="","",HVAC!$J22-HVAC!$M22)</f>
        <v/>
      </c>
      <c r="R22" s="336" t="str">
        <f>IFERROR(HVAC!$Q22/HVAC!$O22,"")</f>
        <v/>
      </c>
    </row>
    <row r="23" spans="2:18" s="321" customFormat="1" ht="45" x14ac:dyDescent="0.25">
      <c r="B23" s="317" t="s">
        <v>649</v>
      </c>
      <c r="C23" s="317" t="s">
        <v>24</v>
      </c>
      <c r="D23" s="318" t="s">
        <v>647</v>
      </c>
      <c r="E23" s="317" t="s">
        <v>704</v>
      </c>
      <c r="F23" s="317" t="s">
        <v>707</v>
      </c>
      <c r="G23" s="317" t="s">
        <v>38</v>
      </c>
      <c r="H23" s="317"/>
      <c r="I23" s="317" t="s">
        <v>808</v>
      </c>
      <c r="J23" s="319" t="s">
        <v>15</v>
      </c>
      <c r="K23" s="317" t="s">
        <v>29</v>
      </c>
      <c r="L23" s="317" t="s">
        <v>30</v>
      </c>
      <c r="M23" s="320" t="s">
        <v>489</v>
      </c>
      <c r="N23" s="317" t="s">
        <v>31</v>
      </c>
      <c r="O23" s="317" t="s">
        <v>16</v>
      </c>
      <c r="P23" s="317" t="s">
        <v>17</v>
      </c>
      <c r="Q23" s="317" t="s">
        <v>18</v>
      </c>
      <c r="R23" s="317" t="s">
        <v>19</v>
      </c>
    </row>
    <row r="24" spans="2:18" ht="15" x14ac:dyDescent="0.25">
      <c r="B24" s="322" t="str">
        <f t="shared" ref="B24:B32" si="5">IF(ISBLANK($E24)=TRUE,"",VLOOKUP($D24,Table_Measures,5,FALSE))</f>
        <v/>
      </c>
      <c r="C24" s="323" t="s">
        <v>395</v>
      </c>
      <c r="D24" s="375" t="s">
        <v>560</v>
      </c>
      <c r="E24" s="376"/>
      <c r="F24" s="377"/>
      <c r="G24" s="377"/>
      <c r="H24" s="324"/>
      <c r="I24" s="373"/>
      <c r="J24" s="374"/>
      <c r="K24" s="326" t="str">
        <f t="shared" si="0"/>
        <v/>
      </c>
      <c r="L24" s="327" t="str">
        <f t="shared" si="1"/>
        <v/>
      </c>
      <c r="M24" s="332" t="str">
        <f>IF(ISBLANK($I24)=TRUE,"",$L24*$I24*$E24)</f>
        <v/>
      </c>
      <c r="N24" s="333" t="str">
        <f t="shared" ref="N24:N32" si="6">IF(G24="","",IF(ISBLANK($I24)=TRUE,"",VLOOKUP($D24,Table_Chillers,2,FALSE)*$I24))</f>
        <v/>
      </c>
      <c r="O24" s="334" t="str">
        <f>IF(HVAC!$N24="","",HVAC!$N24*Input_AvgkWhRate)</f>
        <v/>
      </c>
      <c r="P24" s="335" t="str">
        <f t="shared" ref="P24:P32" si="7">IF(F24="","",IF(ISBLANK($E24)=TRUE,"",VLOOKUP($D24,Table_Chillers,3,FALSE)))</f>
        <v/>
      </c>
      <c r="Q24" s="334" t="str">
        <f>IF(HVAC!$J24="","",HVAC!$J24-HVAC!$M24)</f>
        <v/>
      </c>
      <c r="R24" s="336" t="str">
        <f>IFERROR(HVAC!$Q24/HVAC!$O24,"")</f>
        <v/>
      </c>
    </row>
    <row r="25" spans="2:18" ht="15" x14ac:dyDescent="0.25">
      <c r="B25" s="322" t="str">
        <f t="shared" si="5"/>
        <v/>
      </c>
      <c r="C25" s="323" t="s">
        <v>395</v>
      </c>
      <c r="D25" s="375" t="s">
        <v>560</v>
      </c>
      <c r="E25" s="376"/>
      <c r="F25" s="377"/>
      <c r="G25" s="377"/>
      <c r="H25" s="324"/>
      <c r="I25" s="373"/>
      <c r="J25" s="374"/>
      <c r="K25" s="326" t="str">
        <f t="shared" si="0"/>
        <v/>
      </c>
      <c r="L25" s="327" t="str">
        <f t="shared" si="1"/>
        <v/>
      </c>
      <c r="M25" s="332" t="str">
        <f t="shared" ref="M25:M32" si="8">IF(ISBLANK($I25)=TRUE,"",$L25*$I25*$E25)</f>
        <v/>
      </c>
      <c r="N25" s="333" t="str">
        <f>IF(G25="","",IF(ISBLANK($I25)=TRUE,"",VLOOKUP($D25,Table_Chillers,2,FALSE)*$I25))</f>
        <v/>
      </c>
      <c r="O25" s="334" t="str">
        <f>IF(HVAC!$N25="","",HVAC!$N25*Input_AvgkWhRate)</f>
        <v/>
      </c>
      <c r="P25" s="335" t="str">
        <f t="shared" si="7"/>
        <v/>
      </c>
      <c r="Q25" s="334" t="str">
        <f>IF(HVAC!$J25="","",HVAC!$J25-HVAC!$M25)</f>
        <v/>
      </c>
      <c r="R25" s="336" t="str">
        <f>IFERROR(HVAC!$Q25/HVAC!$O25,"")</f>
        <v/>
      </c>
    </row>
    <row r="26" spans="2:18" ht="15" x14ac:dyDescent="0.25">
      <c r="B26" s="322" t="str">
        <f t="shared" si="5"/>
        <v/>
      </c>
      <c r="C26" s="323" t="s">
        <v>395</v>
      </c>
      <c r="D26" s="375" t="s">
        <v>560</v>
      </c>
      <c r="E26" s="376"/>
      <c r="F26" s="377"/>
      <c r="G26" s="377"/>
      <c r="H26" s="324"/>
      <c r="I26" s="373"/>
      <c r="J26" s="374"/>
      <c r="K26" s="326" t="str">
        <f t="shared" si="0"/>
        <v/>
      </c>
      <c r="L26" s="327" t="str">
        <f t="shared" si="1"/>
        <v/>
      </c>
      <c r="M26" s="332" t="str">
        <f t="shared" si="8"/>
        <v/>
      </c>
      <c r="N26" s="333" t="str">
        <f t="shared" si="6"/>
        <v/>
      </c>
      <c r="O26" s="334" t="str">
        <f>IF(HVAC!$N26="","",HVAC!$N26*Input_AvgkWhRate)</f>
        <v/>
      </c>
      <c r="P26" s="335" t="str">
        <f t="shared" si="7"/>
        <v/>
      </c>
      <c r="Q26" s="334" t="str">
        <f>IF(HVAC!$J26="","",HVAC!$J26-HVAC!$M26)</f>
        <v/>
      </c>
      <c r="R26" s="336" t="str">
        <f>IFERROR(HVAC!$Q26/HVAC!$O26,"")</f>
        <v/>
      </c>
    </row>
    <row r="27" spans="2:18" ht="15" x14ac:dyDescent="0.25">
      <c r="B27" s="322" t="str">
        <f t="shared" si="5"/>
        <v/>
      </c>
      <c r="C27" s="323" t="s">
        <v>395</v>
      </c>
      <c r="D27" s="375" t="s">
        <v>560</v>
      </c>
      <c r="E27" s="376"/>
      <c r="F27" s="377"/>
      <c r="G27" s="377"/>
      <c r="H27" s="324"/>
      <c r="I27" s="373"/>
      <c r="J27" s="374"/>
      <c r="K27" s="326" t="str">
        <f t="shared" si="0"/>
        <v/>
      </c>
      <c r="L27" s="327" t="str">
        <f t="shared" si="1"/>
        <v/>
      </c>
      <c r="M27" s="332" t="str">
        <f t="shared" si="8"/>
        <v/>
      </c>
      <c r="N27" s="333" t="str">
        <f t="shared" si="6"/>
        <v/>
      </c>
      <c r="O27" s="334" t="str">
        <f>IF(HVAC!$N27="","",HVAC!$N27*Input_AvgkWhRate)</f>
        <v/>
      </c>
      <c r="P27" s="335" t="str">
        <f t="shared" si="7"/>
        <v/>
      </c>
      <c r="Q27" s="334" t="str">
        <f>IF(HVAC!$J27="","",HVAC!$J27-HVAC!$M27)</f>
        <v/>
      </c>
      <c r="R27" s="336" t="str">
        <f>IFERROR(HVAC!$Q27/HVAC!$O27,"")</f>
        <v/>
      </c>
    </row>
    <row r="28" spans="2:18" ht="15" x14ac:dyDescent="0.25">
      <c r="B28" s="322" t="str">
        <f t="shared" si="5"/>
        <v/>
      </c>
      <c r="C28" s="323" t="s">
        <v>395</v>
      </c>
      <c r="D28" s="375" t="s">
        <v>560</v>
      </c>
      <c r="E28" s="376"/>
      <c r="F28" s="377"/>
      <c r="G28" s="377"/>
      <c r="H28" s="324"/>
      <c r="I28" s="373"/>
      <c r="J28" s="374"/>
      <c r="K28" s="326" t="str">
        <f t="shared" si="0"/>
        <v/>
      </c>
      <c r="L28" s="327" t="str">
        <f t="shared" si="1"/>
        <v/>
      </c>
      <c r="M28" s="332" t="str">
        <f t="shared" si="8"/>
        <v/>
      </c>
      <c r="N28" s="333" t="str">
        <f t="shared" si="6"/>
        <v/>
      </c>
      <c r="O28" s="334" t="str">
        <f>IF(HVAC!$N28="","",HVAC!$N28*Input_AvgkWhRate)</f>
        <v/>
      </c>
      <c r="P28" s="335" t="str">
        <f t="shared" si="7"/>
        <v/>
      </c>
      <c r="Q28" s="334" t="str">
        <f>IF(HVAC!$J28="","",HVAC!$J28-HVAC!$M28)</f>
        <v/>
      </c>
      <c r="R28" s="336" t="str">
        <f>IFERROR(HVAC!$Q28/HVAC!$O28,"")</f>
        <v/>
      </c>
    </row>
    <row r="29" spans="2:18" ht="15" x14ac:dyDescent="0.25">
      <c r="B29" s="322" t="str">
        <f t="shared" si="5"/>
        <v/>
      </c>
      <c r="C29" s="323" t="s">
        <v>395</v>
      </c>
      <c r="D29" s="375" t="s">
        <v>560</v>
      </c>
      <c r="E29" s="376"/>
      <c r="F29" s="377"/>
      <c r="G29" s="377"/>
      <c r="H29" s="324"/>
      <c r="I29" s="373"/>
      <c r="J29" s="374"/>
      <c r="K29" s="326" t="str">
        <f t="shared" si="0"/>
        <v/>
      </c>
      <c r="L29" s="327" t="str">
        <f t="shared" si="1"/>
        <v/>
      </c>
      <c r="M29" s="332" t="str">
        <f t="shared" si="8"/>
        <v/>
      </c>
      <c r="N29" s="333" t="str">
        <f t="shared" si="6"/>
        <v/>
      </c>
      <c r="O29" s="334" t="str">
        <f>IF(HVAC!$N29="","",HVAC!$N29*Input_AvgkWhRate)</f>
        <v/>
      </c>
      <c r="P29" s="335" t="str">
        <f t="shared" si="7"/>
        <v/>
      </c>
      <c r="Q29" s="334" t="str">
        <f>IF(HVAC!$J29="","",HVAC!$J29-HVAC!$M29)</f>
        <v/>
      </c>
      <c r="R29" s="336" t="str">
        <f>IFERROR(HVAC!$Q29/HVAC!$O29,"")</f>
        <v/>
      </c>
    </row>
    <row r="30" spans="2:18" ht="15" x14ac:dyDescent="0.25">
      <c r="B30" s="322" t="str">
        <f t="shared" si="5"/>
        <v/>
      </c>
      <c r="C30" s="323" t="s">
        <v>395</v>
      </c>
      <c r="D30" s="375" t="s">
        <v>560</v>
      </c>
      <c r="E30" s="376"/>
      <c r="F30" s="377"/>
      <c r="G30" s="377"/>
      <c r="H30" s="324"/>
      <c r="I30" s="373"/>
      <c r="J30" s="374"/>
      <c r="K30" s="326" t="str">
        <f t="shared" si="0"/>
        <v/>
      </c>
      <c r="L30" s="327" t="str">
        <f t="shared" si="1"/>
        <v/>
      </c>
      <c r="M30" s="332" t="str">
        <f t="shared" si="8"/>
        <v/>
      </c>
      <c r="N30" s="333" t="str">
        <f t="shared" si="6"/>
        <v/>
      </c>
      <c r="O30" s="334" t="str">
        <f>IF(HVAC!$N30="","",HVAC!$N30*Input_AvgkWhRate)</f>
        <v/>
      </c>
      <c r="P30" s="335" t="str">
        <f t="shared" si="7"/>
        <v/>
      </c>
      <c r="Q30" s="334" t="str">
        <f>IF(HVAC!$J30="","",HVAC!$J30-HVAC!$M30)</f>
        <v/>
      </c>
      <c r="R30" s="336" t="str">
        <f>IFERROR(HVAC!$Q30/HVAC!$O30,"")</f>
        <v/>
      </c>
    </row>
    <row r="31" spans="2:18" ht="15" x14ac:dyDescent="0.25">
      <c r="B31" s="322" t="str">
        <f t="shared" si="5"/>
        <v/>
      </c>
      <c r="C31" s="323" t="s">
        <v>395</v>
      </c>
      <c r="D31" s="375" t="s">
        <v>560</v>
      </c>
      <c r="E31" s="376"/>
      <c r="F31" s="377"/>
      <c r="G31" s="377"/>
      <c r="H31" s="324"/>
      <c r="I31" s="373"/>
      <c r="J31" s="374"/>
      <c r="K31" s="326" t="str">
        <f t="shared" si="0"/>
        <v/>
      </c>
      <c r="L31" s="327" t="str">
        <f t="shared" si="1"/>
        <v/>
      </c>
      <c r="M31" s="332" t="str">
        <f t="shared" si="8"/>
        <v/>
      </c>
      <c r="N31" s="333" t="str">
        <f t="shared" si="6"/>
        <v/>
      </c>
      <c r="O31" s="334" t="str">
        <f>IF(HVAC!$N31="","",HVAC!$N31*Input_AvgkWhRate)</f>
        <v/>
      </c>
      <c r="P31" s="335" t="str">
        <f t="shared" si="7"/>
        <v/>
      </c>
      <c r="Q31" s="334" t="str">
        <f>IF(HVAC!$J31="","",HVAC!$J31-HVAC!$M31)</f>
        <v/>
      </c>
      <c r="R31" s="336" t="str">
        <f>IFERROR(HVAC!$Q31/HVAC!$O31,"")</f>
        <v/>
      </c>
    </row>
    <row r="32" spans="2:18" ht="15" x14ac:dyDescent="0.25">
      <c r="B32" s="322" t="str">
        <f t="shared" si="5"/>
        <v/>
      </c>
      <c r="C32" s="323" t="s">
        <v>395</v>
      </c>
      <c r="D32" s="375" t="s">
        <v>560</v>
      </c>
      <c r="E32" s="376"/>
      <c r="F32" s="377"/>
      <c r="G32" s="377"/>
      <c r="H32" s="324"/>
      <c r="I32" s="373"/>
      <c r="J32" s="374"/>
      <c r="K32" s="326" t="str">
        <f t="shared" si="0"/>
        <v/>
      </c>
      <c r="L32" s="327" t="str">
        <f t="shared" si="1"/>
        <v/>
      </c>
      <c r="M32" s="332" t="str">
        <f t="shared" si="8"/>
        <v/>
      </c>
      <c r="N32" s="333" t="str">
        <f t="shared" si="6"/>
        <v/>
      </c>
      <c r="O32" s="334" t="str">
        <f>IF(HVAC!$N32="","",HVAC!$N32*Input_AvgkWhRate)</f>
        <v/>
      </c>
      <c r="P32" s="335" t="str">
        <f t="shared" si="7"/>
        <v/>
      </c>
      <c r="Q32" s="334" t="str">
        <f>IF(HVAC!$J32="","",HVAC!$J32-HVAC!$M32)</f>
        <v/>
      </c>
      <c r="R32" s="336" t="str">
        <f>IFERROR(HVAC!$Q32/HVAC!$O32,"")</f>
        <v/>
      </c>
    </row>
    <row r="33" spans="2:18" s="321" customFormat="1" ht="45" x14ac:dyDescent="0.25">
      <c r="B33" s="317" t="s">
        <v>649</v>
      </c>
      <c r="C33" s="317" t="s">
        <v>24</v>
      </c>
      <c r="D33" s="318" t="s">
        <v>648</v>
      </c>
      <c r="E33" s="317"/>
      <c r="F33" s="317"/>
      <c r="G33" s="317"/>
      <c r="H33" s="317"/>
      <c r="I33" s="317" t="s">
        <v>39</v>
      </c>
      <c r="J33" s="319" t="s">
        <v>15</v>
      </c>
      <c r="K33" s="317" t="s">
        <v>29</v>
      </c>
      <c r="L33" s="317" t="s">
        <v>30</v>
      </c>
      <c r="M33" s="320" t="s">
        <v>489</v>
      </c>
      <c r="N33" s="317" t="s">
        <v>31</v>
      </c>
      <c r="O33" s="317" t="s">
        <v>16</v>
      </c>
      <c r="P33" s="317" t="s">
        <v>17</v>
      </c>
      <c r="Q33" s="317" t="s">
        <v>18</v>
      </c>
      <c r="R33" s="317" t="s">
        <v>19</v>
      </c>
    </row>
    <row r="34" spans="2:18" s="321" customFormat="1" ht="15" x14ac:dyDescent="0.25">
      <c r="B34" s="322" t="str">
        <f t="shared" ref="B34:B46" si="9">IF(ISBLANK($I34)=TRUE,"",VLOOKUP($D34,Table_Measures,5,FALSE))</f>
        <v/>
      </c>
      <c r="C34" s="323" t="s">
        <v>177</v>
      </c>
      <c r="D34" s="375" t="s">
        <v>561</v>
      </c>
      <c r="E34" s="337"/>
      <c r="F34" s="337"/>
      <c r="G34" s="337"/>
      <c r="H34" s="337"/>
      <c r="I34" s="373"/>
      <c r="J34" s="374"/>
      <c r="K34" s="326" t="str">
        <f t="shared" si="0"/>
        <v/>
      </c>
      <c r="L34" s="327" t="str">
        <f t="shared" si="1"/>
        <v/>
      </c>
      <c r="M34" s="332" t="str">
        <f>IF(ISBLANK($I34)=TRUE,"",$L34*$I34)</f>
        <v/>
      </c>
      <c r="N34" s="333" t="str">
        <f>IF(ISBLANK($I34)=TRUE,"",VLOOKUP($D34,Table_ECMHVACFan,2,FALSE)*$I34)</f>
        <v/>
      </c>
      <c r="O34" s="334" t="str">
        <f>IF(HVAC!$N34="","",HVAC!$N34*Input_AvgkWhRate)</f>
        <v/>
      </c>
      <c r="P34" s="335" t="str">
        <f t="shared" ref="P34:P43" si="10">IF(ISBLANK($I34)=TRUE,"",VLOOKUP($D34,Table_ECMHVACFan,3,FALSE)*$I34)</f>
        <v/>
      </c>
      <c r="Q34" s="334" t="str">
        <f>IF(HVAC!$J34="","",HVAC!$J34-HVAC!$M34)</f>
        <v/>
      </c>
      <c r="R34" s="336" t="str">
        <f>IFERROR(HVAC!$Q34/HVAC!$O34,"")</f>
        <v/>
      </c>
    </row>
    <row r="35" spans="2:18" s="321" customFormat="1" ht="15" x14ac:dyDescent="0.25">
      <c r="B35" s="322" t="str">
        <f t="shared" si="9"/>
        <v/>
      </c>
      <c r="C35" s="323" t="s">
        <v>177</v>
      </c>
      <c r="D35" s="375" t="s">
        <v>561</v>
      </c>
      <c r="E35" s="337"/>
      <c r="F35" s="337"/>
      <c r="G35" s="337"/>
      <c r="H35" s="337"/>
      <c r="I35" s="373"/>
      <c r="J35" s="374"/>
      <c r="K35" s="326" t="str">
        <f t="shared" si="0"/>
        <v/>
      </c>
      <c r="L35" s="327" t="str">
        <f t="shared" si="1"/>
        <v/>
      </c>
      <c r="M35" s="332" t="str">
        <f t="shared" ref="M35:M43" si="11">IF(ISBLANK($I35)=TRUE,"",$L35*$I35)</f>
        <v/>
      </c>
      <c r="N35" s="333" t="str">
        <f>IF(ISBLANK($I35)=TRUE,"",VLOOKUP($D35,Table_ECMHVACFan,2,FALSE)*$I35)</f>
        <v/>
      </c>
      <c r="O35" s="334" t="str">
        <f>IF(HVAC!$N35="","",HVAC!$N35*Input_AvgkWhRate)</f>
        <v/>
      </c>
      <c r="P35" s="335" t="str">
        <f t="shared" si="10"/>
        <v/>
      </c>
      <c r="Q35" s="334" t="str">
        <f>IF(HVAC!$J35="","",HVAC!$J35-HVAC!$M35)</f>
        <v/>
      </c>
      <c r="R35" s="336" t="str">
        <f>IFERROR(HVAC!$Q35/HVAC!$O35,"")</f>
        <v/>
      </c>
    </row>
    <row r="36" spans="2:18" s="321" customFormat="1" ht="15" x14ac:dyDescent="0.25">
      <c r="B36" s="322" t="str">
        <f t="shared" si="9"/>
        <v/>
      </c>
      <c r="C36" s="323" t="s">
        <v>177</v>
      </c>
      <c r="D36" s="375" t="s">
        <v>561</v>
      </c>
      <c r="E36" s="337"/>
      <c r="F36" s="337"/>
      <c r="G36" s="337"/>
      <c r="H36" s="337"/>
      <c r="I36" s="373"/>
      <c r="J36" s="374"/>
      <c r="K36" s="326" t="str">
        <f t="shared" si="0"/>
        <v/>
      </c>
      <c r="L36" s="327" t="str">
        <f t="shared" si="1"/>
        <v/>
      </c>
      <c r="M36" s="332" t="str">
        <f t="shared" si="11"/>
        <v/>
      </c>
      <c r="N36" s="333" t="str">
        <f t="shared" ref="N36:N43" si="12">IF(ISBLANK($I36)=TRUE,"",VLOOKUP($D36,Table_ECMHVACFan,2,FALSE)*$I36)</f>
        <v/>
      </c>
      <c r="O36" s="334" t="str">
        <f>IF(HVAC!$N36="","",HVAC!$N36*Input_AvgkWhRate)</f>
        <v/>
      </c>
      <c r="P36" s="335" t="str">
        <f t="shared" si="10"/>
        <v/>
      </c>
      <c r="Q36" s="334" t="str">
        <f>IF(HVAC!$J36="","",HVAC!$J36-HVAC!$M36)</f>
        <v/>
      </c>
      <c r="R36" s="336" t="str">
        <f>IFERROR(HVAC!$Q36/HVAC!$O36,"")</f>
        <v/>
      </c>
    </row>
    <row r="37" spans="2:18" s="321" customFormat="1" ht="15" x14ac:dyDescent="0.25">
      <c r="B37" s="322" t="str">
        <f t="shared" si="9"/>
        <v/>
      </c>
      <c r="C37" s="323" t="s">
        <v>177</v>
      </c>
      <c r="D37" s="375" t="s">
        <v>561</v>
      </c>
      <c r="E37" s="337"/>
      <c r="F37" s="337"/>
      <c r="G37" s="337"/>
      <c r="H37" s="337"/>
      <c r="I37" s="373"/>
      <c r="J37" s="374"/>
      <c r="K37" s="326" t="str">
        <f t="shared" si="0"/>
        <v/>
      </c>
      <c r="L37" s="327" t="str">
        <f t="shared" si="1"/>
        <v/>
      </c>
      <c r="M37" s="332" t="str">
        <f t="shared" si="11"/>
        <v/>
      </c>
      <c r="N37" s="333" t="str">
        <f t="shared" si="12"/>
        <v/>
      </c>
      <c r="O37" s="334" t="str">
        <f>IF(HVAC!$N37="","",HVAC!$N37*Input_AvgkWhRate)</f>
        <v/>
      </c>
      <c r="P37" s="335" t="str">
        <f t="shared" si="10"/>
        <v/>
      </c>
      <c r="Q37" s="334" t="str">
        <f>IF(HVAC!$J37="","",HVAC!$J37-HVAC!$M37)</f>
        <v/>
      </c>
      <c r="R37" s="336" t="str">
        <f>IFERROR(HVAC!$Q37/HVAC!$O37,"")</f>
        <v/>
      </c>
    </row>
    <row r="38" spans="2:18" s="321" customFormat="1" ht="15" x14ac:dyDescent="0.25">
      <c r="B38" s="322" t="str">
        <f t="shared" si="9"/>
        <v/>
      </c>
      <c r="C38" s="323" t="s">
        <v>177</v>
      </c>
      <c r="D38" s="375" t="s">
        <v>561</v>
      </c>
      <c r="E38" s="337"/>
      <c r="F38" s="337"/>
      <c r="G38" s="337"/>
      <c r="H38" s="337"/>
      <c r="I38" s="373"/>
      <c r="J38" s="374"/>
      <c r="K38" s="326" t="str">
        <f t="shared" si="0"/>
        <v/>
      </c>
      <c r="L38" s="327" t="str">
        <f t="shared" si="1"/>
        <v/>
      </c>
      <c r="M38" s="332" t="str">
        <f t="shared" si="11"/>
        <v/>
      </c>
      <c r="N38" s="333" t="str">
        <f t="shared" si="12"/>
        <v/>
      </c>
      <c r="O38" s="334" t="str">
        <f>IF(HVAC!$N38="","",HVAC!$N38*Input_AvgkWhRate)</f>
        <v/>
      </c>
      <c r="P38" s="335" t="str">
        <f t="shared" si="10"/>
        <v/>
      </c>
      <c r="Q38" s="334" t="str">
        <f>IF(HVAC!$J38="","",HVAC!$J38-HVAC!$M38)</f>
        <v/>
      </c>
      <c r="R38" s="336" t="str">
        <f>IFERROR(HVAC!$Q38/HVAC!$O38,"")</f>
        <v/>
      </c>
    </row>
    <row r="39" spans="2:18" s="321" customFormat="1" ht="15" x14ac:dyDescent="0.25">
      <c r="B39" s="322" t="str">
        <f t="shared" si="9"/>
        <v/>
      </c>
      <c r="C39" s="323" t="s">
        <v>177</v>
      </c>
      <c r="D39" s="375" t="s">
        <v>561</v>
      </c>
      <c r="E39" s="337"/>
      <c r="F39" s="337"/>
      <c r="G39" s="337"/>
      <c r="H39" s="337"/>
      <c r="I39" s="373"/>
      <c r="J39" s="374"/>
      <c r="K39" s="326" t="str">
        <f t="shared" si="0"/>
        <v/>
      </c>
      <c r="L39" s="327" t="str">
        <f t="shared" si="1"/>
        <v/>
      </c>
      <c r="M39" s="332" t="str">
        <f t="shared" si="11"/>
        <v/>
      </c>
      <c r="N39" s="333" t="str">
        <f t="shared" si="12"/>
        <v/>
      </c>
      <c r="O39" s="334" t="str">
        <f>IF(HVAC!$N39="","",HVAC!$N39*Input_AvgkWhRate)</f>
        <v/>
      </c>
      <c r="P39" s="335" t="str">
        <f t="shared" si="10"/>
        <v/>
      </c>
      <c r="Q39" s="334" t="str">
        <f>IF(HVAC!$J39="","",HVAC!$J39-HVAC!$M39)</f>
        <v/>
      </c>
      <c r="R39" s="336" t="str">
        <f>IFERROR(HVAC!$Q39/HVAC!$O39,"")</f>
        <v/>
      </c>
    </row>
    <row r="40" spans="2:18" s="321" customFormat="1" ht="15" x14ac:dyDescent="0.25">
      <c r="B40" s="322" t="str">
        <f t="shared" si="9"/>
        <v/>
      </c>
      <c r="C40" s="323" t="s">
        <v>177</v>
      </c>
      <c r="D40" s="375" t="s">
        <v>561</v>
      </c>
      <c r="E40" s="337"/>
      <c r="F40" s="337"/>
      <c r="G40" s="337"/>
      <c r="H40" s="337"/>
      <c r="I40" s="373"/>
      <c r="J40" s="374"/>
      <c r="K40" s="326" t="str">
        <f t="shared" si="0"/>
        <v/>
      </c>
      <c r="L40" s="327" t="str">
        <f t="shared" si="1"/>
        <v/>
      </c>
      <c r="M40" s="332" t="str">
        <f t="shared" si="11"/>
        <v/>
      </c>
      <c r="N40" s="333" t="str">
        <f t="shared" si="12"/>
        <v/>
      </c>
      <c r="O40" s="334" t="str">
        <f>IF(HVAC!$N40="","",HVAC!$N40*Input_AvgkWhRate)</f>
        <v/>
      </c>
      <c r="P40" s="335" t="str">
        <f t="shared" si="10"/>
        <v/>
      </c>
      <c r="Q40" s="334" t="str">
        <f>IF(HVAC!$J40="","",HVAC!$J40-HVAC!$M40)</f>
        <v/>
      </c>
      <c r="R40" s="336" t="str">
        <f>IFERROR(HVAC!$Q40/HVAC!$O40,"")</f>
        <v/>
      </c>
    </row>
    <row r="41" spans="2:18" s="321" customFormat="1" ht="15" x14ac:dyDescent="0.25">
      <c r="B41" s="322" t="str">
        <f t="shared" si="9"/>
        <v/>
      </c>
      <c r="C41" s="323" t="s">
        <v>177</v>
      </c>
      <c r="D41" s="375" t="s">
        <v>561</v>
      </c>
      <c r="E41" s="337"/>
      <c r="F41" s="337"/>
      <c r="G41" s="337"/>
      <c r="H41" s="337"/>
      <c r="I41" s="373"/>
      <c r="J41" s="374"/>
      <c r="K41" s="326" t="str">
        <f t="shared" si="0"/>
        <v/>
      </c>
      <c r="L41" s="327" t="str">
        <f t="shared" si="1"/>
        <v/>
      </c>
      <c r="M41" s="332" t="str">
        <f t="shared" si="11"/>
        <v/>
      </c>
      <c r="N41" s="333" t="str">
        <f t="shared" si="12"/>
        <v/>
      </c>
      <c r="O41" s="334" t="str">
        <f>IF(HVAC!$N41="","",HVAC!$N41*Input_AvgkWhRate)</f>
        <v/>
      </c>
      <c r="P41" s="335" t="str">
        <f t="shared" si="10"/>
        <v/>
      </c>
      <c r="Q41" s="334" t="str">
        <f>IF(HVAC!$J41="","",HVAC!$J41-HVAC!$M41)</f>
        <v/>
      </c>
      <c r="R41" s="336" t="str">
        <f>IFERROR(HVAC!$Q41/HVAC!$O41,"")</f>
        <v/>
      </c>
    </row>
    <row r="42" spans="2:18" s="321" customFormat="1" ht="15" x14ac:dyDescent="0.25">
      <c r="B42" s="322" t="str">
        <f t="shared" si="9"/>
        <v/>
      </c>
      <c r="C42" s="323" t="s">
        <v>177</v>
      </c>
      <c r="D42" s="375" t="s">
        <v>561</v>
      </c>
      <c r="E42" s="337"/>
      <c r="F42" s="337"/>
      <c r="G42" s="337"/>
      <c r="H42" s="337"/>
      <c r="I42" s="373"/>
      <c r="J42" s="374"/>
      <c r="K42" s="326" t="str">
        <f t="shared" si="0"/>
        <v/>
      </c>
      <c r="L42" s="327" t="str">
        <f t="shared" si="1"/>
        <v/>
      </c>
      <c r="M42" s="332" t="str">
        <f t="shared" si="11"/>
        <v/>
      </c>
      <c r="N42" s="333" t="str">
        <f t="shared" si="12"/>
        <v/>
      </c>
      <c r="O42" s="334" t="str">
        <f>IF(HVAC!$N42="","",HVAC!$N42*Input_AvgkWhRate)</f>
        <v/>
      </c>
      <c r="P42" s="335" t="str">
        <f t="shared" si="10"/>
        <v/>
      </c>
      <c r="Q42" s="334" t="str">
        <f>IF(HVAC!$J42="","",HVAC!$J42-HVAC!$M42)</f>
        <v/>
      </c>
      <c r="R42" s="336" t="str">
        <f>IFERROR(HVAC!$Q42/HVAC!$O42,"")</f>
        <v/>
      </c>
    </row>
    <row r="43" spans="2:18" s="321" customFormat="1" ht="15" x14ac:dyDescent="0.25">
      <c r="B43" s="322" t="str">
        <f t="shared" si="9"/>
        <v/>
      </c>
      <c r="C43" s="323" t="s">
        <v>177</v>
      </c>
      <c r="D43" s="375" t="s">
        <v>561</v>
      </c>
      <c r="E43" s="337"/>
      <c r="F43" s="337"/>
      <c r="G43" s="337"/>
      <c r="H43" s="337"/>
      <c r="I43" s="373"/>
      <c r="J43" s="374"/>
      <c r="K43" s="326" t="str">
        <f t="shared" si="0"/>
        <v/>
      </c>
      <c r="L43" s="327" t="str">
        <f t="shared" si="1"/>
        <v/>
      </c>
      <c r="M43" s="332" t="str">
        <f t="shared" si="11"/>
        <v/>
      </c>
      <c r="N43" s="333" t="str">
        <f t="shared" si="12"/>
        <v/>
      </c>
      <c r="O43" s="334" t="str">
        <f>IF(HVAC!$N43="","",HVAC!$N43*Input_AvgkWhRate)</f>
        <v/>
      </c>
      <c r="P43" s="335" t="str">
        <f t="shared" si="10"/>
        <v/>
      </c>
      <c r="Q43" s="334" t="str">
        <f>IF(HVAC!$J43="","",HVAC!$J43-HVAC!$M43)</f>
        <v/>
      </c>
      <c r="R43" s="336" t="str">
        <f>IFERROR(HVAC!$Q43/HVAC!$O43,"")</f>
        <v/>
      </c>
    </row>
    <row r="44" spans="2:18" s="321" customFormat="1" ht="15" x14ac:dyDescent="0.25">
      <c r="B44" s="322" t="str">
        <f t="shared" si="9"/>
        <v/>
      </c>
      <c r="C44" s="323" t="s">
        <v>177</v>
      </c>
      <c r="D44" s="375" t="s">
        <v>566</v>
      </c>
      <c r="E44" s="337"/>
      <c r="F44" s="337"/>
      <c r="G44" s="337"/>
      <c r="H44" s="337"/>
      <c r="I44" s="373"/>
      <c r="J44" s="374"/>
      <c r="K44" s="326" t="str">
        <f t="shared" si="0"/>
        <v/>
      </c>
      <c r="L44" s="327" t="str">
        <f t="shared" si="1"/>
        <v/>
      </c>
      <c r="M44" s="332" t="str">
        <f t="shared" ref="M44:M46" si="13">IF(ISBLANK($I44)=TRUE,"",$L44*$I44)</f>
        <v/>
      </c>
      <c r="N44" s="333" t="str">
        <f>IF(ISBLANK($I44)=TRUE,"",VLOOKUP($D44,Table_GREM,2,FALSE)*$I44)</f>
        <v/>
      </c>
      <c r="O44" s="334" t="str">
        <f>IF(HVAC!$N44="","",HVAC!$N44*Input_AvgkWhRate)</f>
        <v/>
      </c>
      <c r="P44" s="335" t="str">
        <f>IF(ISBLANK($I44)=TRUE,"",VLOOKUP($D44,Table_GREM,3,FALSE)*$I44)</f>
        <v/>
      </c>
      <c r="Q44" s="334" t="str">
        <f>IF(HVAC!$J44="","",HVAC!$J44-HVAC!$M44)</f>
        <v/>
      </c>
      <c r="R44" s="336" t="str">
        <f>IFERROR(HVAC!$Q44/HVAC!$O44,"")</f>
        <v/>
      </c>
    </row>
    <row r="45" spans="2:18" s="321" customFormat="1" ht="15" x14ac:dyDescent="0.25">
      <c r="B45" s="322" t="str">
        <f t="shared" si="9"/>
        <v/>
      </c>
      <c r="C45" s="323" t="s">
        <v>177</v>
      </c>
      <c r="D45" s="375" t="s">
        <v>566</v>
      </c>
      <c r="E45" s="337"/>
      <c r="F45" s="337"/>
      <c r="G45" s="337"/>
      <c r="H45" s="337"/>
      <c r="I45" s="373"/>
      <c r="J45" s="378"/>
      <c r="K45" s="326" t="str">
        <f t="shared" si="0"/>
        <v/>
      </c>
      <c r="L45" s="327" t="str">
        <f t="shared" si="1"/>
        <v/>
      </c>
      <c r="M45" s="332" t="str">
        <f t="shared" si="13"/>
        <v/>
      </c>
      <c r="N45" s="333" t="str">
        <f>IF(ISBLANK($I45)=TRUE,"",VLOOKUP($D45,Table_GREM,2,FALSE)*$I45)</f>
        <v/>
      </c>
      <c r="O45" s="334" t="str">
        <f>IF(HVAC!$N45="","",HVAC!$N45*Input_AvgkWhRate)</f>
        <v/>
      </c>
      <c r="P45" s="335" t="str">
        <f>IF(ISBLANK($I45)=TRUE,"",VLOOKUP($D45,Table_GREM,3,FALSE)*$I45)</f>
        <v/>
      </c>
      <c r="Q45" s="334" t="str">
        <f>IF(HVAC!$J45="","",HVAC!$J45-HVAC!$M45)</f>
        <v/>
      </c>
      <c r="R45" s="336" t="str">
        <f>IFERROR(HVAC!$Q45/HVAC!$O45,"")</f>
        <v/>
      </c>
    </row>
    <row r="46" spans="2:18" s="321" customFormat="1" ht="15" x14ac:dyDescent="0.25">
      <c r="B46" s="322" t="str">
        <f t="shared" si="9"/>
        <v/>
      </c>
      <c r="C46" s="323" t="s">
        <v>177</v>
      </c>
      <c r="D46" s="375" t="s">
        <v>566</v>
      </c>
      <c r="E46" s="337"/>
      <c r="F46" s="337"/>
      <c r="G46" s="337"/>
      <c r="H46" s="337"/>
      <c r="I46" s="373"/>
      <c r="J46" s="378"/>
      <c r="K46" s="326" t="str">
        <f t="shared" si="0"/>
        <v/>
      </c>
      <c r="L46" s="327" t="str">
        <f t="shared" si="1"/>
        <v/>
      </c>
      <c r="M46" s="332" t="str">
        <f t="shared" si="13"/>
        <v/>
      </c>
      <c r="N46" s="333" t="str">
        <f>IF(ISBLANK($I46)=TRUE,"",VLOOKUP($D46,Table_GREM,2,FALSE)*$I46)</f>
        <v/>
      </c>
      <c r="O46" s="334" t="str">
        <f>IF(HVAC!$N46="","",HVAC!$N46*Input_AvgkWhRate)</f>
        <v/>
      </c>
      <c r="P46" s="335" t="str">
        <f>IF(ISBLANK($I46)=TRUE,"",VLOOKUP($D46,Table_GREM,3,FALSE)*$I46)</f>
        <v/>
      </c>
      <c r="Q46" s="334" t="str">
        <f>IF(HVAC!$J46="","",HVAC!$J46-HVAC!$M46)</f>
        <v/>
      </c>
      <c r="R46" s="336" t="str">
        <f>IFERROR(HVAC!$Q46/HVAC!$O46,"")</f>
        <v/>
      </c>
    </row>
    <row r="47" spans="2:18" s="321" customFormat="1" ht="45" x14ac:dyDescent="0.25">
      <c r="B47" s="317" t="s">
        <v>649</v>
      </c>
      <c r="C47" s="317" t="s">
        <v>24</v>
      </c>
      <c r="D47" s="318" t="s">
        <v>703</v>
      </c>
      <c r="E47" s="317" t="s">
        <v>42</v>
      </c>
      <c r="F47" s="317" t="s">
        <v>43</v>
      </c>
      <c r="G47" s="317"/>
      <c r="H47" s="317"/>
      <c r="I47" s="317" t="s">
        <v>35</v>
      </c>
      <c r="J47" s="319" t="s">
        <v>15</v>
      </c>
      <c r="K47" s="317" t="s">
        <v>29</v>
      </c>
      <c r="L47" s="317" t="s">
        <v>30</v>
      </c>
      <c r="M47" s="320" t="s">
        <v>489</v>
      </c>
      <c r="N47" s="317" t="s">
        <v>31</v>
      </c>
      <c r="O47" s="317" t="s">
        <v>16</v>
      </c>
      <c r="P47" s="317" t="s">
        <v>17</v>
      </c>
      <c r="Q47" s="317" t="s">
        <v>18</v>
      </c>
      <c r="R47" s="317" t="s">
        <v>19</v>
      </c>
    </row>
    <row r="48" spans="2:18" s="321" customFormat="1" ht="15" x14ac:dyDescent="0.25">
      <c r="B48" s="322" t="str">
        <f>IF(ISBLANK($E48)=TRUE,"",VLOOKUP($D48,Table_Measures,5,FALSE))</f>
        <v/>
      </c>
      <c r="C48" s="323" t="s">
        <v>177</v>
      </c>
      <c r="D48" s="375" t="s">
        <v>565</v>
      </c>
      <c r="E48" s="379"/>
      <c r="F48" s="379"/>
      <c r="G48" s="337"/>
      <c r="H48" s="337"/>
      <c r="I48" s="338" t="str">
        <f>IF(OR(E48="",F48=""),"",E48-F48)</f>
        <v/>
      </c>
      <c r="J48" s="374"/>
      <c r="K48" s="326" t="str">
        <f t="shared" si="0"/>
        <v/>
      </c>
      <c r="L48" s="327" t="str">
        <f t="shared" si="1"/>
        <v/>
      </c>
      <c r="M48" s="332" t="str">
        <f>IF(ISBLANK($E48)=TRUE,"",$L48*$I48)</f>
        <v/>
      </c>
      <c r="N48" s="333" t="str">
        <f>IF(ISBLANK($E48)=TRUE,"",VLOOKUP($D48,Table_DuctSealing,2,FALSE)*$I48)</f>
        <v/>
      </c>
      <c r="O48" s="334" t="str">
        <f>IF(HVAC!$N48="","",HVAC!$N48*Input_AvgkWhRate)</f>
        <v/>
      </c>
      <c r="P48" s="335" t="str">
        <f>IF(ISBLANK($E48)=TRUE,"",VLOOKUP($D48,Table_DuctSealing,3,FALSE)*$I48)</f>
        <v/>
      </c>
      <c r="Q48" s="334" t="str">
        <f>IF(HVAC!$J48="","",HVAC!$J48-HVAC!$M48)</f>
        <v/>
      </c>
      <c r="R48" s="336" t="str">
        <f>IFERROR(HVAC!$Q48/HVAC!$O48,"")</f>
        <v/>
      </c>
    </row>
    <row r="49" spans="2:18" s="321" customFormat="1" ht="15" x14ac:dyDescent="0.25">
      <c r="B49" s="322" t="str">
        <f>IF(ISBLANK($E49)=TRUE,"",VLOOKUP($D49,Table_Measures,5,FALSE))</f>
        <v/>
      </c>
      <c r="C49" s="323" t="s">
        <v>177</v>
      </c>
      <c r="D49" s="375" t="s">
        <v>565</v>
      </c>
      <c r="E49" s="379"/>
      <c r="F49" s="379"/>
      <c r="G49" s="337"/>
      <c r="H49" s="337"/>
      <c r="I49" s="338" t="str">
        <f t="shared" ref="I49:I50" si="14">IF(OR(E49="",F49=""),"",E49-F49)</f>
        <v/>
      </c>
      <c r="J49" s="374"/>
      <c r="K49" s="326" t="str">
        <f t="shared" si="0"/>
        <v/>
      </c>
      <c r="L49" s="327" t="str">
        <f t="shared" si="1"/>
        <v/>
      </c>
      <c r="M49" s="332" t="str">
        <f t="shared" ref="M49:M50" si="15">IF(ISBLANK($E49)=TRUE,"",$L49*$I49)</f>
        <v/>
      </c>
      <c r="N49" s="333" t="str">
        <f>IF(ISBLANK($E49)=TRUE,"",VLOOKUP($D49,Table_DuctSealing,2,FALSE)*$I49)</f>
        <v/>
      </c>
      <c r="O49" s="334" t="str">
        <f>IF(HVAC!$N49="","",HVAC!$N49*Input_AvgkWhRate)</f>
        <v/>
      </c>
      <c r="P49" s="335" t="str">
        <f>IF(ISBLANK($E49)=TRUE,"",VLOOKUP($D49,Table_DuctSealing,3,FALSE)*$I49)</f>
        <v/>
      </c>
      <c r="Q49" s="334" t="str">
        <f>IF(HVAC!$J49="","",HVAC!$J49-HVAC!$M49)</f>
        <v/>
      </c>
      <c r="R49" s="336" t="str">
        <f>IFERROR(HVAC!$Q49/HVAC!$O49,"")</f>
        <v/>
      </c>
    </row>
    <row r="50" spans="2:18" s="321" customFormat="1" ht="15" x14ac:dyDescent="0.25">
      <c r="B50" s="322" t="str">
        <f>IF(ISBLANK($E50)=TRUE,"",VLOOKUP($D50,Table_Measures,5,FALSE))</f>
        <v/>
      </c>
      <c r="C50" s="323" t="s">
        <v>177</v>
      </c>
      <c r="D50" s="375" t="s">
        <v>565</v>
      </c>
      <c r="E50" s="379"/>
      <c r="F50" s="379"/>
      <c r="G50" s="337"/>
      <c r="H50" s="337"/>
      <c r="I50" s="338" t="str">
        <f t="shared" si="14"/>
        <v/>
      </c>
      <c r="J50" s="374"/>
      <c r="K50" s="326" t="str">
        <f t="shared" si="0"/>
        <v/>
      </c>
      <c r="L50" s="327" t="str">
        <f t="shared" si="1"/>
        <v/>
      </c>
      <c r="M50" s="332" t="str">
        <f t="shared" si="15"/>
        <v/>
      </c>
      <c r="N50" s="333" t="str">
        <f>IF(ISBLANK($E50)=TRUE,"",VLOOKUP($D50,Table_DuctSealing,2,FALSE)*$I50)</f>
        <v/>
      </c>
      <c r="O50" s="334" t="str">
        <f>IF(HVAC!$N50="","",HVAC!$N50*Input_AvgkWhRate)</f>
        <v/>
      </c>
      <c r="P50" s="335" t="str">
        <f>IF(ISBLANK($E50)=TRUE,"",VLOOKUP($D50,Table_DuctSealing,3,FALSE)*$I50)</f>
        <v/>
      </c>
      <c r="Q50" s="334" t="str">
        <f>IF(HVAC!$J50="","",HVAC!$J50-HVAC!$M50)</f>
        <v/>
      </c>
      <c r="R50" s="336" t="str">
        <f>IFERROR(HVAC!$Q50/HVAC!$O50,"")</f>
        <v/>
      </c>
    </row>
  </sheetData>
  <sheetProtection algorithmName="SHA-512" hashValue="tzshLSlUF0U6P4KIDdx7EKxSMAXSbOtBXgrrJVpH1tiQ3GzZy9+5aJVA8PglSad0RcjrEs1af2TEWfJtOXrCsQ==" saltValue="l0hsby00XCNvR6NQRR4+tA==" spinCount="100000" sheet="1" objects="1" scenarios="1"/>
  <phoneticPr fontId="15" type="noConversion"/>
  <dataValidations count="9">
    <dataValidation type="list" allowBlank="1" showInputMessage="1" showErrorMessage="1" sqref="D3:D10" xr:uid="{73EC9C8A-D8F9-4709-A860-0E09C498BE2A}">
      <formula1>List_ACUnitMeasures</formula1>
    </dataValidation>
    <dataValidation type="list" allowBlank="1" showInputMessage="1" showErrorMessage="1" sqref="D12:D19" xr:uid="{56535AA6-46C8-4C1B-AD87-7D9FC1EE8D67}">
      <formula1>List_HPUnitMeasures</formula1>
    </dataValidation>
    <dataValidation type="decimal" operator="greaterThanOrEqual" showInputMessage="1" showErrorMessage="1" error="The entered efficiency does not meet the minimum requirement." sqref="F3:F10 F12:F19" xr:uid="{6FCF3BBB-41AE-41A2-AD14-ABD194FF7FB0}">
      <formula1>VLOOKUP(D3,Table_ACHPFactors,5,FALSE)</formula1>
    </dataValidation>
    <dataValidation type="decimal" operator="greaterThanOrEqual" showInputMessage="1" showErrorMessage="1" error="The entered efficiency does not meet the minimum requirement." sqref="G3:G10 G12:G19" xr:uid="{05D5BD5E-CD0E-4EE5-B9BF-EBC9FBC73AA7}">
      <formula1>VLOOKUP(D3,Table_ACHPFactors,6,FALSE)</formula1>
    </dataValidation>
    <dataValidation type="decimal" operator="greaterThanOrEqual" showInputMessage="1" showErrorMessage="1" error="The entered efficiency does not meet the minimum requirement." sqref="H12:H19" xr:uid="{39995CC0-8DB4-4B2A-B092-196AE81C65DA}">
      <formula1>VLOOKUP(D12,Table_ACHPFactors,7,FALSE)</formula1>
    </dataValidation>
    <dataValidation type="decimal" operator="lessThanOrEqual" showInputMessage="1" showErrorMessage="1" sqref="F24:F32" xr:uid="{214B749D-CA36-42B4-B89B-FE34FB8F2527}">
      <formula1>VLOOKUP(D24,Table_ChillerFactors,4,FALSE)</formula1>
    </dataValidation>
    <dataValidation type="decimal" operator="lessThanOrEqual" showInputMessage="1" showErrorMessage="1" sqref="G24:G32" xr:uid="{8835AAF7-4EB6-430B-BD35-E3AA29255CB9}">
      <formula1>VLOOKUP(D24,Table_ChillerFactors,5,FALSE)</formula1>
    </dataValidation>
    <dataValidation type="decimal" showInputMessage="1" showErrorMessage="1" sqref="E24:E32" xr:uid="{2397145E-4072-4800-89DA-467FFFDFCB3E}">
      <formula1>VLOOKUP(D24,Table_ChillerFactors,6,FALSE)</formula1>
      <formula2>VLOOKUP(D24,Table_ChillerFactors,7,FALSE)</formula2>
    </dataValidation>
    <dataValidation type="decimal" showInputMessage="1" showErrorMessage="1" sqref="E3:E10 E12:E19" xr:uid="{8C6DB909-B0AF-4F52-9FDB-99250E9FD93D}">
      <formula1>VLOOKUP(D3,Table_ACHPFactors,8,FALSE)</formula1>
      <formula2>VLOOKUP(D3,Table_ACHPFactors,9,FALSE)</formula2>
    </dataValidation>
  </dataValidations>
  <pageMargins left="0.7" right="0.7" top="0.75" bottom="0.75" header="0.3" footer="0.3"/>
  <pageSetup scale="75" fitToWidth="0" fitToHeight="0" orientation="landscape" verticalDpi="4294967293"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62C967-20D2-41F8-8CB3-F56356BEC5C7}">
          <x14:formula1>
            <xm:f>Lookups!$J$34:$J$43</xm:f>
          </x14:formula1>
          <xm:sqref>D24:D32</xm:sqref>
        </x14:dataValidation>
        <x14:dataValidation type="list" allowBlank="1" showInputMessage="1" showErrorMessage="1" xr:uid="{B70F3250-FE88-40CF-8234-E57DF5352B90}">
          <x14:formula1>
            <xm:f>Lookups!$J$62:$J$63</xm:f>
          </x14:formula1>
          <xm:sqref>D34:D43</xm:sqref>
        </x14:dataValidation>
        <x14:dataValidation type="list" allowBlank="1" showInputMessage="1" showErrorMessage="1" xr:uid="{303E4A32-5ECE-45AC-893A-232CA46A383B}">
          <x14:formula1>
            <xm:f>Lookups!$J$72:$J$73</xm:f>
          </x14:formula1>
          <xm:sqref>D48:D50</xm:sqref>
        </x14:dataValidation>
        <x14:dataValidation type="list" allowBlank="1" showInputMessage="1" showErrorMessage="1" xr:uid="{7539FF62-C4B3-4EC5-8686-76AD1E5A01B5}">
          <x14:formula1>
            <xm:f>Lookups!$J$67:$J$68</xm:f>
          </x14:formula1>
          <xm:sqref>D44:D46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56E8D-125B-4774-BDE8-0087817EA17A}">
  <sheetPr>
    <tabColor theme="0" tint="-0.249977111117893"/>
  </sheetPr>
  <dimension ref="B1:R8"/>
  <sheetViews>
    <sheetView showGridLines="0" showRowColHeaders="0" zoomScaleNormal="100" workbookViewId="0">
      <selection activeCell="E3" sqref="E3"/>
    </sheetView>
  </sheetViews>
  <sheetFormatPr defaultColWidth="9.140625" defaultRowHeight="15" x14ac:dyDescent="0.25"/>
  <cols>
    <col min="1" max="1" width="2.140625" style="5" customWidth="1"/>
    <col min="2" max="2" width="16.28515625" style="5" customWidth="1"/>
    <col min="3" max="3" width="30.140625" style="5" customWidth="1"/>
    <col min="4" max="4" width="39.140625" style="4" bestFit="1" customWidth="1"/>
    <col min="5" max="5" width="22.85546875" style="4" bestFit="1" customWidth="1"/>
    <col min="6" max="6" width="44.140625" style="4" customWidth="1"/>
    <col min="7" max="7" width="12.7109375" style="4" bestFit="1" customWidth="1"/>
    <col min="8" max="8" width="12.42578125" style="4" bestFit="1" customWidth="1"/>
    <col min="9" max="9" width="16.7109375" style="4" bestFit="1" customWidth="1"/>
    <col min="10" max="10" width="20.85546875" style="5" bestFit="1" customWidth="1"/>
    <col min="11" max="11" width="14.7109375" style="5" bestFit="1" customWidth="1"/>
    <col min="12" max="12" width="14" style="5" bestFit="1" customWidth="1"/>
    <col min="13" max="13" width="17.140625" style="5" bestFit="1" customWidth="1"/>
    <col min="14" max="14" width="18.42578125" style="5" bestFit="1" customWidth="1"/>
    <col min="15" max="15" width="14.7109375" style="5" bestFit="1" customWidth="1"/>
    <col min="16" max="16" width="12.140625" style="5" bestFit="1" customWidth="1"/>
    <col min="17" max="17" width="14.140625" bestFit="1" customWidth="1"/>
    <col min="18" max="18" width="11.5703125" bestFit="1" customWidth="1"/>
    <col min="19" max="16384" width="9.140625" style="5"/>
  </cols>
  <sheetData>
    <row r="1" spans="2:18" s="27" customFormat="1" ht="15.75" x14ac:dyDescent="0.25">
      <c r="J1" s="196">
        <f>SUM(Refrigeration!$J$3:$J$8)</f>
        <v>0</v>
      </c>
      <c r="M1" s="193">
        <f>SUM($M$3:$M$8)</f>
        <v>0</v>
      </c>
      <c r="N1" s="197">
        <f>SUM(Refrigeration!$N$3:$N$8)</f>
        <v>0</v>
      </c>
      <c r="O1" s="196">
        <f>SUM(Refrigeration!$O$3:$O$8)</f>
        <v>0</v>
      </c>
      <c r="P1" s="198">
        <f>SUM(Refrigeration!$P$3:$P$8)</f>
        <v>0</v>
      </c>
      <c r="Q1" s="196">
        <f>J1-M1</f>
        <v>0</v>
      </c>
      <c r="R1" s="199" t="str">
        <f>IFERROR(Q1/O1,"")</f>
        <v/>
      </c>
    </row>
    <row r="2" spans="2:18" s="76" customFormat="1" ht="57" customHeight="1" x14ac:dyDescent="0.25">
      <c r="B2" s="187" t="s">
        <v>649</v>
      </c>
      <c r="C2" s="187" t="s">
        <v>24</v>
      </c>
      <c r="D2" s="188" t="s">
        <v>650</v>
      </c>
      <c r="E2" s="187" t="s">
        <v>651</v>
      </c>
      <c r="F2" s="187" t="s">
        <v>652</v>
      </c>
      <c r="G2" s="187" t="s">
        <v>653</v>
      </c>
      <c r="H2" s="187" t="s">
        <v>654</v>
      </c>
      <c r="I2" s="187" t="s">
        <v>655</v>
      </c>
      <c r="J2" s="189" t="s">
        <v>637</v>
      </c>
      <c r="K2" s="187" t="s">
        <v>656</v>
      </c>
      <c r="L2" s="187" t="s">
        <v>657</v>
      </c>
      <c r="M2" s="190" t="s">
        <v>658</v>
      </c>
      <c r="N2" s="187" t="s">
        <v>639</v>
      </c>
      <c r="O2" s="187" t="s">
        <v>640</v>
      </c>
      <c r="P2" s="187" t="s">
        <v>641</v>
      </c>
      <c r="Q2" s="187" t="s">
        <v>642</v>
      </c>
      <c r="R2" s="187" t="s">
        <v>643</v>
      </c>
    </row>
    <row r="3" spans="2:18" s="76" customFormat="1" x14ac:dyDescent="0.25">
      <c r="B3" s="191" t="str">
        <f t="shared" ref="B3:B8" si="0">IF(ISBLANK($I3)=TRUE,"",VLOOKUP($D3,Table_Measures,5,FALSE))</f>
        <v/>
      </c>
      <c r="C3" s="200" t="s">
        <v>135</v>
      </c>
      <c r="D3" s="201" t="s">
        <v>747</v>
      </c>
      <c r="E3" s="380"/>
      <c r="F3" s="72"/>
      <c r="G3" s="72"/>
      <c r="H3" s="72"/>
      <c r="I3" s="383"/>
      <c r="J3" s="381"/>
      <c r="K3" s="156" t="str">
        <f t="shared" ref="K3:K8" si="1">IFERROR(VLOOKUP($D3,Table_Measures,4,FALSE),"")</f>
        <v>Fan</v>
      </c>
      <c r="L3" s="157" t="str">
        <f t="shared" ref="L3:L8" si="2">IFERROR(VLOOKUP($D3,Table_Measures,IF(Input_ProgramType="Small Commercial Solutions",2,IF(Input_ProgramType="Large Commercial &amp; Industrial Solutions",3)),0),"")</f>
        <v/>
      </c>
      <c r="M3" s="384" t="str">
        <f>IF(ISBLANK($I3)=TRUE,"",$L3*$I3)</f>
        <v/>
      </c>
      <c r="N3" s="385" t="str">
        <f>IF(ISBLANK($I3)=TRUE,"",VLOOKUP($E3,Table_ECMRefrFan,2,FALSE)*$I3)</f>
        <v/>
      </c>
      <c r="O3" s="384" t="str">
        <f>IF(Refrigeration!$N3="","",Refrigeration!$N3*Input_AvgkWhRate)</f>
        <v/>
      </c>
      <c r="P3" s="386" t="str">
        <f>IF(ISBLANK($I3)=TRUE,"",VLOOKUP($E3,Table_ECMRefrFan,3,FALSE)*$I3)</f>
        <v/>
      </c>
      <c r="Q3" s="384" t="str">
        <f>IFERROR(Refrigeration!$J3-Refrigeration!$M3,"")</f>
        <v/>
      </c>
      <c r="R3" s="387" t="str">
        <f>IFERROR(Refrigeration!$Q3/Refrigeration!$O3,"")</f>
        <v/>
      </c>
    </row>
    <row r="4" spans="2:18" s="76" customFormat="1" x14ac:dyDescent="0.25">
      <c r="B4" s="191" t="str">
        <f t="shared" si="0"/>
        <v/>
      </c>
      <c r="C4" s="200" t="s">
        <v>135</v>
      </c>
      <c r="D4" s="201" t="s">
        <v>748</v>
      </c>
      <c r="E4" s="380"/>
      <c r="F4" s="72"/>
      <c r="G4" s="72"/>
      <c r="H4" s="72"/>
      <c r="I4" s="383"/>
      <c r="J4" s="381"/>
      <c r="K4" s="156" t="str">
        <f t="shared" si="1"/>
        <v>Fan</v>
      </c>
      <c r="L4" s="157" t="str">
        <f t="shared" si="2"/>
        <v/>
      </c>
      <c r="M4" s="384" t="str">
        <f t="shared" ref="M4:M8" si="3">IF(ISBLANK($I4)=TRUE,"",$L4*$I4)</f>
        <v/>
      </c>
      <c r="N4" s="385" t="str">
        <f>IF(ISBLANK($I4)=TRUE,"",VLOOKUP($E4,Table_EvapFanControls,2,FALSE)*$I4)</f>
        <v/>
      </c>
      <c r="O4" s="384" t="str">
        <f>IF(Refrigeration!$N4="","",Refrigeration!$N4*Input_AvgkWhRate)</f>
        <v/>
      </c>
      <c r="P4" s="386" t="str">
        <f>IF(ISBLANK($I4)=TRUE,"",VLOOKUP($E4,Table_EvapFanControls,3,FALSE)*$I4)</f>
        <v/>
      </c>
      <c r="Q4" s="384" t="str">
        <f>IFERROR(Refrigeration!$J4-Refrigeration!$M4,"")</f>
        <v/>
      </c>
      <c r="R4" s="387" t="str">
        <f>IFERROR(Refrigeration!$Q4/Refrigeration!$O4,"")</f>
        <v/>
      </c>
    </row>
    <row r="5" spans="2:18" s="76" customFormat="1" x14ac:dyDescent="0.25">
      <c r="B5" s="191" t="str">
        <f t="shared" si="0"/>
        <v/>
      </c>
      <c r="C5" s="200" t="s">
        <v>135</v>
      </c>
      <c r="D5" s="201" t="s">
        <v>749</v>
      </c>
      <c r="E5" s="380"/>
      <c r="F5" s="72"/>
      <c r="G5" s="72"/>
      <c r="H5" s="72"/>
      <c r="I5" s="383"/>
      <c r="J5" s="381"/>
      <c r="K5" s="156" t="str">
        <f t="shared" si="1"/>
        <v>Linear Ft.</v>
      </c>
      <c r="L5" s="157" t="str">
        <f t="shared" si="2"/>
        <v/>
      </c>
      <c r="M5" s="384" t="str">
        <f t="shared" si="3"/>
        <v/>
      </c>
      <c r="N5" s="385" t="str">
        <f>IF(ISBLANK($I5)=TRUE,"",VLOOKUP($E5,Table_ASHC,2,FALSE)*$I5)</f>
        <v/>
      </c>
      <c r="O5" s="384" t="str">
        <f>IF(Refrigeration!$N5="","",Refrigeration!$N5*Input_AvgkWhRate)</f>
        <v/>
      </c>
      <c r="P5" s="386" t="str">
        <f>IF(ISBLANK($I5)=TRUE,"",VLOOKUP($E5,Table_ASHC,3,FALSE)*$I5)</f>
        <v/>
      </c>
      <c r="Q5" s="384" t="str">
        <f>IFERROR(Refrigeration!$J5-Refrigeration!$M5,"")</f>
        <v/>
      </c>
      <c r="R5" s="387" t="str">
        <f>IFERROR(Refrigeration!$Q5/Refrigeration!$O5,"")</f>
        <v/>
      </c>
    </row>
    <row r="6" spans="2:18" s="76" customFormat="1" x14ac:dyDescent="0.25">
      <c r="B6" s="191" t="str">
        <f t="shared" si="0"/>
        <v/>
      </c>
      <c r="C6" s="200" t="s">
        <v>135</v>
      </c>
      <c r="D6" s="201" t="s">
        <v>750</v>
      </c>
      <c r="E6" s="72"/>
      <c r="F6" s="381"/>
      <c r="G6" s="72"/>
      <c r="H6" s="72"/>
      <c r="I6" s="383"/>
      <c r="J6" s="381"/>
      <c r="K6" s="156" t="str">
        <f t="shared" si="1"/>
        <v>Linear Ft.</v>
      </c>
      <c r="L6" s="157" t="str">
        <f t="shared" si="2"/>
        <v/>
      </c>
      <c r="M6" s="384" t="str">
        <f t="shared" si="3"/>
        <v/>
      </c>
      <c r="N6" s="385" t="str">
        <f>IF(ISBLANK($I6)=TRUE,"",VLOOKUP($F6,Table_NightCovers,2,FALSE)*$I6)</f>
        <v/>
      </c>
      <c r="O6" s="384" t="str">
        <f>IF(Refrigeration!$N6="","",Refrigeration!$N6*Input_AvgkWhRate)</f>
        <v/>
      </c>
      <c r="P6" s="386" t="str">
        <f>IF(ISBLANK($I6)=TRUE,"",VLOOKUP($F6,Table_NightCovers,3,FALSE)*$I6)</f>
        <v/>
      </c>
      <c r="Q6" s="384" t="str">
        <f>IFERROR(Refrigeration!$J6-Refrigeration!$M6,"")</f>
        <v/>
      </c>
      <c r="R6" s="387" t="str">
        <f>IFERROR(Refrigeration!$Q6/Refrigeration!$O6,"")</f>
        <v/>
      </c>
    </row>
    <row r="7" spans="2:18" s="76" customFormat="1" x14ac:dyDescent="0.25">
      <c r="B7" s="191" t="str">
        <f t="shared" si="0"/>
        <v/>
      </c>
      <c r="C7" s="200" t="s">
        <v>135</v>
      </c>
      <c r="D7" s="201" t="s">
        <v>751</v>
      </c>
      <c r="E7" s="380"/>
      <c r="F7" s="72"/>
      <c r="G7" s="382"/>
      <c r="H7" s="72"/>
      <c r="I7" s="383"/>
      <c r="J7" s="381"/>
      <c r="K7" s="156" t="str">
        <f t="shared" si="1"/>
        <v>Unit</v>
      </c>
      <c r="L7" s="157" t="str">
        <f t="shared" si="2"/>
        <v/>
      </c>
      <c r="M7" s="384" t="str">
        <f t="shared" si="3"/>
        <v/>
      </c>
      <c r="N7" s="385" t="str">
        <f>IF(ISBLANK($I7)=TRUE,"",VLOOKUP(_xlfn.CONCAT(E7,G7),Table_ESRefrigerators,4,FALSE)*$I7)</f>
        <v/>
      </c>
      <c r="O7" s="384" t="str">
        <f>IF(Refrigeration!$N7="","",Refrigeration!$N7*Input_AvgkWhRate)</f>
        <v/>
      </c>
      <c r="P7" s="386" t="str">
        <f>IF(ISBLANK($I7)=TRUE,"",VLOOKUP(_xlfn.CONCAT(E7,G7),Table_ESRefrigerators,5,FALSE)*$I7)</f>
        <v/>
      </c>
      <c r="Q7" s="384" t="str">
        <f>IFERROR(Refrigeration!$J7-Refrigeration!$M7,"")</f>
        <v/>
      </c>
      <c r="R7" s="387" t="str">
        <f>IFERROR(Refrigeration!$Q7/Refrigeration!$O7,"")</f>
        <v/>
      </c>
    </row>
    <row r="8" spans="2:18" s="76" customFormat="1" x14ac:dyDescent="0.25">
      <c r="B8" s="191" t="str">
        <f t="shared" si="0"/>
        <v/>
      </c>
      <c r="C8" s="200" t="s">
        <v>135</v>
      </c>
      <c r="D8" s="201" t="s">
        <v>752</v>
      </c>
      <c r="E8" s="380"/>
      <c r="F8" s="72"/>
      <c r="G8" s="72"/>
      <c r="H8" s="380"/>
      <c r="I8" s="383"/>
      <c r="J8" s="381"/>
      <c r="K8" s="156" t="str">
        <f t="shared" si="1"/>
        <v>Sq.Ft.</v>
      </c>
      <c r="L8" s="157" t="str">
        <f t="shared" si="2"/>
        <v/>
      </c>
      <c r="M8" s="384" t="str">
        <f t="shared" si="3"/>
        <v/>
      </c>
      <c r="N8" s="385" t="str">
        <f>IF(ISBLANK($I8)=TRUE,"",VLOOKUP(_xlfn.CONCAT($E8,$H8),Table_StripCurtains,4,FALSE)*$I8)</f>
        <v/>
      </c>
      <c r="O8" s="384" t="str">
        <f>IF(Refrigeration!$N8="","",Refrigeration!$N8*Input_AvgkWhRate)</f>
        <v/>
      </c>
      <c r="P8" s="386" t="str">
        <f>IF(ISBLANK($I8)=TRUE,"",VLOOKUP(_xlfn.CONCAT($E8,$H8),Table_StripCurtains,5,FALSE)*$I8)</f>
        <v/>
      </c>
      <c r="Q8" s="384" t="str">
        <f>IFERROR(Refrigeration!$J8-Refrigeration!$M8,"")</f>
        <v/>
      </c>
      <c r="R8" s="387" t="str">
        <f>IFERROR(Refrigeration!$Q8/Refrigeration!$O8,"")</f>
        <v/>
      </c>
    </row>
  </sheetData>
  <sheetProtection algorithmName="SHA-512" hashValue="3GSXc0aqZO5jbABcIYC5jrGVj+uaqN2OeXP3znFbzCko5vVhcZrSxYhfaIjFId5FyfCz+hGolhKdAJ7Nskv9tA==" saltValue="m+C7WPEAibdoPbAkSHvKjQ==" spinCount="100000" sheet="1" objects="1" scenarios="1"/>
  <dataValidations count="4">
    <dataValidation type="list" allowBlank="1" showInputMessage="1" showErrorMessage="1" sqref="E3" xr:uid="{BE760D51-D2AE-46BA-85C2-3E48E4E3F1B2}">
      <formula1>List_Refrigeration</formula1>
    </dataValidation>
    <dataValidation type="list" allowBlank="1" showInputMessage="1" showErrorMessage="1" sqref="G7" xr:uid="{134AD284-4A94-4EF7-8101-57FBF248752E}">
      <formula1>List_RefrSizes</formula1>
    </dataValidation>
    <dataValidation type="list" allowBlank="1" showInputMessage="1" showErrorMessage="1" sqref="E8" xr:uid="{8425826C-95F1-46B3-93B2-EFBF8B9F26D9}">
      <formula1>List_CurtainType</formula1>
    </dataValidation>
    <dataValidation type="list" allowBlank="1" showInputMessage="1" showErrorMessage="1" sqref="H8" xr:uid="{80721DFA-E250-457C-B725-D78DA5CE7BDA}">
      <formula1>List_StripCurtainBaseline</formula1>
    </dataValidation>
  </dataValidations>
  <pageMargins left="0.7" right="0.7" top="0.75" bottom="0.75" header="0.3" footer="0.3"/>
  <pageSetup scale="75" fitToWidth="0" fitToHeight="0" orientation="landscape" verticalDpi="4294967293"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E02407FC-2E93-41F6-BEDD-5E769FAAC3ED}">
          <x14:formula1>
            <xm:f>'Savings Lookups'!$H$17:$H$25</xm:f>
          </x14:formula1>
          <xm:sqref>F6</xm:sqref>
        </x14:dataValidation>
        <x14:dataValidation type="list" allowBlank="1" showInputMessage="1" showErrorMessage="1" xr:uid="{FDF24A2C-7CF8-4767-83D5-6C87D08469DA}">
          <x14:formula1>
            <xm:f>'Savings Lookups'!$H$7:$H$9</xm:f>
          </x14:formula1>
          <xm:sqref>J24 E4</xm:sqref>
        </x14:dataValidation>
        <x14:dataValidation type="list" allowBlank="1" showInputMessage="1" showErrorMessage="1" xr:uid="{99C3061D-E75B-4786-8ED8-F2C9797F60BE}">
          <x14:formula1>
            <xm:f>'Savings Lookups'!$H$12:$H$14</xm:f>
          </x14:formula1>
          <xm:sqref>E5</xm:sqref>
        </x14:dataValidation>
        <x14:dataValidation type="list" allowBlank="1" showInputMessage="1" showErrorMessage="1" xr:uid="{336CDA83-33E0-40D5-A861-D5F8B8CEC883}">
          <x14:formula1>
            <xm:f>Lookups!$T$27:$T$28</xm:f>
          </x14:formula1>
          <xm:sqref>E7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02DA5-F721-4229-BF07-A44629EF69A7}">
  <sheetPr>
    <tabColor theme="0" tint="-0.249977111117893"/>
  </sheetPr>
  <dimension ref="B1:P13"/>
  <sheetViews>
    <sheetView showGridLines="0" showRowColHeaders="0" zoomScaleNormal="100" workbookViewId="0">
      <selection activeCell="E3" sqref="E3"/>
    </sheetView>
  </sheetViews>
  <sheetFormatPr defaultColWidth="9.140625" defaultRowHeight="15" x14ac:dyDescent="0.25"/>
  <cols>
    <col min="1" max="1" width="2.140625" style="5" customWidth="1"/>
    <col min="2" max="2" width="24.42578125" style="5" customWidth="1"/>
    <col min="3" max="3" width="30.140625" style="5" customWidth="1"/>
    <col min="4" max="4" width="65.85546875" style="4" bestFit="1" customWidth="1"/>
    <col min="5" max="5" width="22.42578125" style="4" bestFit="1" customWidth="1"/>
    <col min="6" max="6" width="38.140625" style="4" customWidth="1"/>
    <col min="8" max="8" width="23.5703125" style="5" bestFit="1" customWidth="1"/>
    <col min="9" max="9" width="15.28515625" style="4" bestFit="1" customWidth="1"/>
    <col min="10" max="10" width="12.42578125" style="5" customWidth="1"/>
    <col min="11" max="11" width="18" style="5" customWidth="1"/>
    <col min="12" max="12" width="18.28515625" style="5" bestFit="1" customWidth="1"/>
    <col min="13" max="13" width="21.140625" style="5" bestFit="1" customWidth="1"/>
    <col min="14" max="14" width="18" style="5" bestFit="1" customWidth="1"/>
    <col min="15" max="15" width="16.42578125" bestFit="1" customWidth="1"/>
    <col min="17" max="16384" width="9.140625" style="5"/>
  </cols>
  <sheetData>
    <row r="1" spans="2:16" s="27" customFormat="1" ht="15.75" x14ac:dyDescent="0.25">
      <c r="H1" s="196">
        <f>SUM('Food service'!$H$3:$H$13)</f>
        <v>0</v>
      </c>
      <c r="K1" s="193">
        <f>SUM($K$3:$K$13)</f>
        <v>0</v>
      </c>
      <c r="L1" s="197">
        <f>SUM('Food service'!$L$3:$L$13)</f>
        <v>0</v>
      </c>
      <c r="M1" s="196">
        <f>SUM('Food service'!$M$3:$M$13)</f>
        <v>0</v>
      </c>
      <c r="N1" s="198">
        <f>SUM('Food service'!$N$3:$N$13)</f>
        <v>0</v>
      </c>
      <c r="O1" s="196">
        <f>H1-K1</f>
        <v>0</v>
      </c>
      <c r="P1" s="311" t="str">
        <f>IFERROR(O1/M1,"")</f>
        <v/>
      </c>
    </row>
    <row r="2" spans="2:16" s="76" customFormat="1" ht="45" x14ac:dyDescent="0.25">
      <c r="B2" s="187" t="s">
        <v>649</v>
      </c>
      <c r="C2" s="187" t="s">
        <v>24</v>
      </c>
      <c r="D2" s="188" t="s">
        <v>659</v>
      </c>
      <c r="E2" s="187" t="s">
        <v>661</v>
      </c>
      <c r="F2" s="187" t="s">
        <v>663</v>
      </c>
      <c r="G2" s="187" t="s">
        <v>655</v>
      </c>
      <c r="H2" s="189" t="s">
        <v>637</v>
      </c>
      <c r="I2" s="187" t="s">
        <v>656</v>
      </c>
      <c r="J2" s="187" t="s">
        <v>657</v>
      </c>
      <c r="K2" s="190" t="s">
        <v>658</v>
      </c>
      <c r="L2" s="187" t="s">
        <v>639</v>
      </c>
      <c r="M2" s="187" t="s">
        <v>640</v>
      </c>
      <c r="N2" s="187" t="s">
        <v>641</v>
      </c>
      <c r="O2" s="187" t="s">
        <v>642</v>
      </c>
      <c r="P2" s="187" t="s">
        <v>643</v>
      </c>
    </row>
    <row r="3" spans="2:16" x14ac:dyDescent="0.25">
      <c r="B3" s="191" t="str">
        <f>IF(ISBLANK($G3)=TRUE,"",VLOOKUP($D3,Table_Measures,5,FALSE))</f>
        <v/>
      </c>
      <c r="C3" s="192" t="s">
        <v>702</v>
      </c>
      <c r="D3" s="201" t="s">
        <v>753</v>
      </c>
      <c r="E3" s="382"/>
      <c r="F3" s="382"/>
      <c r="G3" s="380"/>
      <c r="H3" s="381"/>
      <c r="I3" s="156" t="str">
        <f>IFERROR(VLOOKUP($D3,Table_Measures,4,FALSE),"")</f>
        <v>Unit</v>
      </c>
      <c r="J3" s="157" t="str">
        <f>IFERROR(VLOOKUP($D3,Table_Measures,IF(Input_ProgramType="Small Commercial Solutions",2,IF(Input_ProgramType="Large Commercial &amp; Industrial Solutions",3)),0),"")</f>
        <v/>
      </c>
      <c r="K3" s="388" t="str">
        <f>IF(ISBLANK($G3)=TRUE,"",$J3*$G3)</f>
        <v/>
      </c>
      <c r="L3" s="389" t="str">
        <f>IF(ISBLANK($G3)=TRUE,"",VLOOKUP(_xlfn.CONCAT($D3,$E3,$F3),Table_Dishwashers,5,FALSE)*$G3)</f>
        <v/>
      </c>
      <c r="M3" s="388" t="str">
        <f>IF('Food service'!$L3="","",'Food service'!$L3*Input_AvgkWhRate)</f>
        <v/>
      </c>
      <c r="N3" s="390" t="str">
        <f>IF(ISBLANK($G3)=TRUE,"",VLOOKUP(_xlfn.CONCAT($D3,$E3,$F3),Table_Dishwashers,6,FALSE)*$G3)</f>
        <v/>
      </c>
      <c r="O3" s="391" t="str">
        <f>IFERROR($H3-$K3,"")</f>
        <v/>
      </c>
      <c r="P3" s="392" t="str">
        <f>IFERROR($O3/$M3,"")</f>
        <v/>
      </c>
    </row>
    <row r="4" spans="2:16" x14ac:dyDescent="0.25">
      <c r="B4" s="191" t="str">
        <f>IF(ISBLANK($G4)=TRUE,"",VLOOKUP($D4,Table_Measures,5,FALSE))</f>
        <v/>
      </c>
      <c r="C4" s="192" t="s">
        <v>702</v>
      </c>
      <c r="D4" s="201" t="s">
        <v>754</v>
      </c>
      <c r="E4" s="382"/>
      <c r="F4" s="382"/>
      <c r="G4" s="380"/>
      <c r="H4" s="381"/>
      <c r="I4" s="158" t="str">
        <f>IFERROR(VLOOKUP($D4,Table_Measures,4,FALSE),"")</f>
        <v>Unit</v>
      </c>
      <c r="J4" s="159" t="str">
        <f>IFERROR(VLOOKUP($D4,Table_Measures,IF(Input_ProgramType="Small Commercial Solutions",2,IF(Input_ProgramType="Large Commercial &amp; Industrial Solutions",3)),0),"")</f>
        <v/>
      </c>
      <c r="K4" s="388" t="str">
        <f t="shared" ref="K4:K7" si="0">IF(ISBLANK($G4)=TRUE,"",$J4*$G4)</f>
        <v/>
      </c>
      <c r="L4" s="389" t="str">
        <f>IF(ISBLANK($G4)=TRUE,"",VLOOKUP(_xlfn.CONCAT($D4,$E4,$F4),Table_Dishwashers,5,FALSE)*$G4)</f>
        <v/>
      </c>
      <c r="M4" s="388" t="str">
        <f>IF('Food service'!$L4="","",'Food service'!$L4*Input_AvgkWhRate)</f>
        <v/>
      </c>
      <c r="N4" s="390" t="str">
        <f>IF(ISBLANK($G4)=TRUE,"",VLOOKUP(_xlfn.CONCAT($D4,$E4,$F4),Table_Dishwashers,6,FALSE)*$G4)</f>
        <v/>
      </c>
      <c r="O4" s="391" t="str">
        <f>IFERROR($H4-$K4,"")</f>
        <v/>
      </c>
      <c r="P4" s="392" t="str">
        <f t="shared" ref="P4:P7" si="1">IFERROR($O4/$M4,"")</f>
        <v/>
      </c>
    </row>
    <row r="5" spans="2:16" x14ac:dyDescent="0.25">
      <c r="B5" s="191" t="str">
        <f>IF(ISBLANK($G5)=TRUE,"",VLOOKUP($D5,Table_Measures,5,FALSE))</f>
        <v/>
      </c>
      <c r="C5" s="192" t="s">
        <v>702</v>
      </c>
      <c r="D5" s="201" t="s">
        <v>755</v>
      </c>
      <c r="E5" s="79" t="s">
        <v>53</v>
      </c>
      <c r="F5" s="382"/>
      <c r="G5" s="380"/>
      <c r="H5" s="381"/>
      <c r="I5" s="158" t="str">
        <f>IFERROR(VLOOKUP($D5,Table_Measures,4,FALSE),"")</f>
        <v>Unit</v>
      </c>
      <c r="J5" s="159" t="str">
        <f>IFERROR(VLOOKUP($D5,Table_Measures,IF(Input_ProgramType="Small Commercial Solutions",2,IF(Input_ProgramType="Large Commercial &amp; Industrial Solutions",3)),0),"")</f>
        <v/>
      </c>
      <c r="K5" s="388" t="str">
        <f t="shared" si="0"/>
        <v/>
      </c>
      <c r="L5" s="389" t="str">
        <f>IF(ISBLANK($G5)=TRUE,"",VLOOKUP(_xlfn.CONCAT($D5,$E5,$F5),Table_Dishwashers,5,FALSE)*$G5)</f>
        <v/>
      </c>
      <c r="M5" s="388" t="str">
        <f>IF('Food service'!$L5="","",'Food service'!$L5*Input_AvgkWhRate)</f>
        <v/>
      </c>
      <c r="N5" s="390" t="str">
        <f>IF(ISBLANK($G5)=TRUE,"",VLOOKUP(_xlfn.CONCAT($D5,$E5,$F5),Table_Dishwashers,6,FALSE)*$G5)</f>
        <v/>
      </c>
      <c r="O5" s="391" t="str">
        <f t="shared" ref="O5:O7" si="2">IFERROR($H5-$K5,"")</f>
        <v/>
      </c>
      <c r="P5" s="392" t="str">
        <f t="shared" si="1"/>
        <v/>
      </c>
    </row>
    <row r="6" spans="2:16" x14ac:dyDescent="0.25">
      <c r="B6" s="191" t="str">
        <f>IF(ISBLANK($G6)=TRUE,"",VLOOKUP($D6,Table_Measures,5,FALSE))</f>
        <v/>
      </c>
      <c r="C6" s="192" t="s">
        <v>702</v>
      </c>
      <c r="D6" s="201" t="s">
        <v>756</v>
      </c>
      <c r="E6" s="382"/>
      <c r="F6" s="382"/>
      <c r="G6" s="380"/>
      <c r="H6" s="381"/>
      <c r="I6" s="158" t="str">
        <f>IFERROR(VLOOKUP($D6,Table_Measures,4,FALSE),"")</f>
        <v>Unit</v>
      </c>
      <c r="J6" s="159" t="str">
        <f>IFERROR(VLOOKUP($D6,Table_Measures,IF(Input_ProgramType="Small Commercial Solutions",2,IF(Input_ProgramType="Large Commercial &amp; Industrial Solutions",3)),0),"")</f>
        <v/>
      </c>
      <c r="K6" s="388" t="str">
        <f t="shared" si="0"/>
        <v/>
      </c>
      <c r="L6" s="389" t="str">
        <f>IF(ISBLANK($G6)=TRUE,"",VLOOKUP(_xlfn.CONCAT($D6,$E6,$F6),Table_Dishwashers,5,FALSE)*$G6)</f>
        <v/>
      </c>
      <c r="M6" s="388" t="str">
        <f>IF('Food service'!$L6="","",'Food service'!$L6*Input_AvgkWhRate)</f>
        <v/>
      </c>
      <c r="N6" s="390" t="str">
        <f>IF(ISBLANK($G6)=TRUE,"",VLOOKUP(_xlfn.CONCAT($D6,$E6,$F6),Table_Dishwashers,6,FALSE)*$G6)</f>
        <v/>
      </c>
      <c r="O6" s="391" t="str">
        <f t="shared" si="2"/>
        <v/>
      </c>
      <c r="P6" s="392" t="str">
        <f t="shared" si="1"/>
        <v/>
      </c>
    </row>
    <row r="7" spans="2:16" x14ac:dyDescent="0.25">
      <c r="B7" s="191" t="str">
        <f>IF(ISBLANK($G7)=TRUE,"",VLOOKUP($D7,Table_Measures,5,FALSE))</f>
        <v/>
      </c>
      <c r="C7" s="192" t="s">
        <v>702</v>
      </c>
      <c r="D7" s="201" t="s">
        <v>757</v>
      </c>
      <c r="E7" s="382"/>
      <c r="F7" s="382"/>
      <c r="G7" s="380"/>
      <c r="H7" s="381"/>
      <c r="I7" s="158" t="str">
        <f>IFERROR(VLOOKUP($D7,Table_Measures,4,FALSE),"")</f>
        <v>Unit</v>
      </c>
      <c r="J7" s="159" t="str">
        <f>IFERROR(VLOOKUP($D7,Table_Measures,IF(Input_ProgramType="Small Commercial Solutions",2,IF(Input_ProgramType="Large Commercial &amp; Industrial Solutions",3)),0),"")</f>
        <v/>
      </c>
      <c r="K7" s="388" t="str">
        <f t="shared" si="0"/>
        <v/>
      </c>
      <c r="L7" s="389" t="str">
        <f>IF(ISBLANK($G7)=TRUE,"",VLOOKUP(_xlfn.CONCAT($D7,$E7,$F7),Table_Dishwashers,5,FALSE)*$G7)</f>
        <v/>
      </c>
      <c r="M7" s="388" t="str">
        <f>IF('Food service'!$L7="","",'Food service'!$L7*Input_AvgkWhRate)</f>
        <v/>
      </c>
      <c r="N7" s="390" t="str">
        <f>IF(ISBLANK($G7)=TRUE,"",VLOOKUP(_xlfn.CONCAT($D7,$E7,$F7),Table_Dishwashers,6,FALSE)*$G7)</f>
        <v/>
      </c>
      <c r="O7" s="391" t="str">
        <f t="shared" si="2"/>
        <v/>
      </c>
      <c r="P7" s="392" t="str">
        <f t="shared" si="1"/>
        <v/>
      </c>
    </row>
    <row r="8" spans="2:16" s="76" customFormat="1" ht="45" x14ac:dyDescent="0.25">
      <c r="B8" s="187" t="s">
        <v>649</v>
      </c>
      <c r="C8" s="187" t="s">
        <v>24</v>
      </c>
      <c r="D8" s="188" t="s">
        <v>660</v>
      </c>
      <c r="E8" s="187" t="s">
        <v>662</v>
      </c>
      <c r="F8" s="187" t="s">
        <v>664</v>
      </c>
      <c r="G8" s="187" t="s">
        <v>655</v>
      </c>
      <c r="H8" s="189" t="s">
        <v>637</v>
      </c>
      <c r="I8" s="187" t="s">
        <v>656</v>
      </c>
      <c r="J8" s="187" t="s">
        <v>657</v>
      </c>
      <c r="K8" s="190" t="s">
        <v>658</v>
      </c>
      <c r="L8" s="187" t="s">
        <v>639</v>
      </c>
      <c r="M8" s="187" t="s">
        <v>640</v>
      </c>
      <c r="N8" s="187" t="s">
        <v>641</v>
      </c>
      <c r="O8" s="187" t="s">
        <v>642</v>
      </c>
      <c r="P8" s="187" t="s">
        <v>643</v>
      </c>
    </row>
    <row r="9" spans="2:16" x14ac:dyDescent="0.25">
      <c r="B9" s="155" t="str">
        <f>IF(ISBLANK($G9)=TRUE,"",VLOOKUP($D9,Table_Measures,5,FALSE))</f>
        <v/>
      </c>
      <c r="C9" s="75" t="s">
        <v>702</v>
      </c>
      <c r="D9" s="74" t="s">
        <v>762</v>
      </c>
      <c r="E9" s="382"/>
      <c r="F9" s="71"/>
      <c r="G9" s="380"/>
      <c r="H9" s="381"/>
      <c r="I9" s="158" t="str">
        <f>IFERROR(VLOOKUP($D9,Table_Measures,4,FALSE),"")</f>
        <v>Unit</v>
      </c>
      <c r="J9" s="159" t="str">
        <f>IFERROR(VLOOKUP($D9,Table_Measures,IF(Input_ProgramType="Small Commercial Solutions",2,IF(Input_ProgramType="Large Commercial &amp; Industrial Solutions",3)),0),"")</f>
        <v/>
      </c>
      <c r="K9" s="388" t="str">
        <f>IF(ISBLANK($G9)=TRUE,"",$J9*$G9)</f>
        <v/>
      </c>
      <c r="L9" s="389" t="str">
        <f>IF(ISBLANK($G9)=TRUE,"",VLOOKUP($E9,Table_SteamCooker,2,FALSE)*$G9)</f>
        <v/>
      </c>
      <c r="M9" s="388" t="str">
        <f>IF('Food service'!$L9="","",'Food service'!$L9*Input_AvgkWhRate)</f>
        <v/>
      </c>
      <c r="N9" s="390" t="str">
        <f>IF(ISBLANK($G9)=TRUE,"",VLOOKUP($E9,Table_SteamCooker,3,FALSE)*$G9)</f>
        <v/>
      </c>
      <c r="O9" s="388" t="str">
        <f>IF('Food service'!$H9="","",'Food service'!$H9-'Food service'!$K9)</f>
        <v/>
      </c>
      <c r="P9" s="392" t="str">
        <f>IFERROR($O9/$M9,"")</f>
        <v/>
      </c>
    </row>
    <row r="10" spans="2:16" x14ac:dyDescent="0.25">
      <c r="B10" s="155" t="str">
        <f>IF(ISBLANK($G10)=TRUE,"",VLOOKUP($D10,Table_Measures,5,FALSE))</f>
        <v/>
      </c>
      <c r="C10" s="75" t="s">
        <v>702</v>
      </c>
      <c r="D10" s="74" t="s">
        <v>758</v>
      </c>
      <c r="E10" s="382"/>
      <c r="F10" s="71"/>
      <c r="G10" s="380"/>
      <c r="H10" s="381"/>
      <c r="I10" s="158" t="str">
        <f>IFERROR(VLOOKUP($D10,Table_Measures,4,FALSE),"")</f>
        <v>Unit</v>
      </c>
      <c r="J10" s="159" t="str">
        <f>IFERROR(VLOOKUP($D10,Table_Measures,IF(Input_ProgramType="Small Commercial Solutions",2,IF(Input_ProgramType="Large Commercial &amp; Industrial Solutions",3)),0),"")</f>
        <v/>
      </c>
      <c r="K10" s="388" t="str">
        <f>IF(ISBLANK($G10)=TRUE,"",$J10*$G10)</f>
        <v/>
      </c>
      <c r="L10" s="389" t="str">
        <f>IF(ISBLANK($G10)=TRUE,"",VLOOKUP($E10,Table_ConvectionOven,2,FALSE)*$G10)</f>
        <v/>
      </c>
      <c r="M10" s="388" t="str">
        <f>IF('Food service'!$L10="","",'Food service'!$L10*Input_AvgkWhRate)</f>
        <v/>
      </c>
      <c r="N10" s="390" t="str">
        <f>IF(ISBLANK($G10)=TRUE,"",VLOOKUP($E10,Table_ConvectionOven,3,FALSE)*$G10)</f>
        <v/>
      </c>
      <c r="O10" s="388" t="str">
        <f>IF('Food service'!$H10="","",'Food service'!$H10-'Food service'!$K10)</f>
        <v/>
      </c>
      <c r="P10" s="392" t="str">
        <f t="shared" ref="P10:P13" si="3">IFERROR($O10/$M10,"")</f>
        <v/>
      </c>
    </row>
    <row r="11" spans="2:16" x14ac:dyDescent="0.25">
      <c r="B11" s="155" t="str">
        <f>IF(ISBLANK($G11)=TRUE,"",VLOOKUP($D11,Table_Measures,5,FALSE))</f>
        <v/>
      </c>
      <c r="C11" s="75" t="s">
        <v>702</v>
      </c>
      <c r="D11" s="74" t="s">
        <v>759</v>
      </c>
      <c r="E11" s="71"/>
      <c r="F11" s="71"/>
      <c r="G11" s="380"/>
      <c r="H11" s="381"/>
      <c r="I11" s="158" t="str">
        <f>IFERROR(VLOOKUP($D11,Table_Measures,4,FALSE),"")</f>
        <v>Unit</v>
      </c>
      <c r="J11" s="159" t="str">
        <f>IFERROR(VLOOKUP($D11,Table_Measures,IF(Input_ProgramType="Small Commercial Solutions",2,IF(Input_ProgramType="Large Commercial &amp; Industrial Solutions",3)),0),"")</f>
        <v/>
      </c>
      <c r="K11" s="388" t="str">
        <f>IF(ISBLANK($G11)=TRUE,"",$J11*$G11)</f>
        <v/>
      </c>
      <c r="L11" s="389" t="str">
        <f>IF(ISBLANK($G11)=TRUE,"",VLOOKUP($D11,Table_CombinationOven,2,FALSE)*$G11)</f>
        <v/>
      </c>
      <c r="M11" s="388" t="str">
        <f>IF('Food service'!$L11="","",'Food service'!$L11*Input_AvgkWhRate)</f>
        <v/>
      </c>
      <c r="N11" s="390" t="str">
        <f>IF(ISBLANK($G11)=TRUE,"",VLOOKUP($D11,Table_CombinationOven,3,FALSE)*$G11)</f>
        <v/>
      </c>
      <c r="O11" s="388" t="str">
        <f>IF('Food service'!$H11="","",'Food service'!$H11-'Food service'!$K11)</f>
        <v/>
      </c>
      <c r="P11" s="392" t="str">
        <f t="shared" si="3"/>
        <v/>
      </c>
    </row>
    <row r="12" spans="2:16" x14ac:dyDescent="0.25">
      <c r="B12" s="155" t="str">
        <f>IF(ISBLANK($G12)=TRUE,"",VLOOKUP($D12,Table_Measures,5,FALSE))</f>
        <v/>
      </c>
      <c r="C12" s="75" t="s">
        <v>702</v>
      </c>
      <c r="D12" s="74" t="s">
        <v>760</v>
      </c>
      <c r="E12" s="71"/>
      <c r="F12" s="71"/>
      <c r="G12" s="380"/>
      <c r="H12" s="381"/>
      <c r="I12" s="158" t="str">
        <f>IFERROR(VLOOKUP($D12,Table_Measures,4,FALSE),"")</f>
        <v>Unit</v>
      </c>
      <c r="J12" s="159" t="str">
        <f>IFERROR(VLOOKUP($D12,Table_Measures,IF(Input_ProgramType="Small Commercial Solutions",2,IF(Input_ProgramType="Large Commercial &amp; Industrial Solutions",3)),0),"")</f>
        <v/>
      </c>
      <c r="K12" s="388" t="str">
        <f>IF(ISBLANK($G12)=TRUE,"",$J12*$G12)</f>
        <v/>
      </c>
      <c r="L12" s="389" t="str">
        <f>IF(ISBLANK($G12)=TRUE,"",VLOOKUP($D12,Table_CombinationOven,2,FALSE)*$G12)</f>
        <v/>
      </c>
      <c r="M12" s="388" t="str">
        <f>IF('Food service'!$L12="","",'Food service'!$L12*Input_AvgkWhRate)</f>
        <v/>
      </c>
      <c r="N12" s="390" t="str">
        <f>IF(ISBLANK($G12)=TRUE,"",VLOOKUP($D12,Table_CombinationOven,3,FALSE)*$G12)</f>
        <v/>
      </c>
      <c r="O12" s="388" t="str">
        <f>IF('Food service'!$H12="","",'Food service'!$H12-'Food service'!$K12)</f>
        <v/>
      </c>
      <c r="P12" s="392" t="str">
        <f t="shared" si="3"/>
        <v/>
      </c>
    </row>
    <row r="13" spans="2:16" x14ac:dyDescent="0.25">
      <c r="B13" s="155" t="str">
        <f>IF(ISBLANK($G13)=TRUE,"",VLOOKUP($D13,Table_Measures,5,FALSE))</f>
        <v/>
      </c>
      <c r="C13" s="75" t="s">
        <v>702</v>
      </c>
      <c r="D13" s="74" t="s">
        <v>761</v>
      </c>
      <c r="E13" s="71"/>
      <c r="F13" s="382"/>
      <c r="G13" s="380"/>
      <c r="H13" s="381"/>
      <c r="I13" s="158" t="str">
        <f>IFERROR(VLOOKUP($D13,Table_Measures,4,FALSE),"")</f>
        <v>Unit</v>
      </c>
      <c r="J13" s="159" t="str">
        <f>IFERROR(VLOOKUP($D13,Table_Measures,IF(Input_ProgramType="Small Commercial Solutions",2,IF(Input_ProgramType="Large Commercial &amp; Industrial Solutions",3)),0),"")</f>
        <v/>
      </c>
      <c r="K13" s="388" t="str">
        <f>IF(ISBLANK($G13)=TRUE,"",$J13*$G13)</f>
        <v/>
      </c>
      <c r="L13" s="393" t="str">
        <f>IF('Food service'!$G13="","",VLOOKUP('Food service'!$F13,Table_IceMaker,2,FALSE)*'Food service'!$G13)</f>
        <v/>
      </c>
      <c r="M13" s="388" t="str">
        <f>IF('Food service'!$L13="","",'Food service'!$L13*Input_AvgkWhRate)</f>
        <v/>
      </c>
      <c r="N13" s="390" t="str">
        <f>IF(ISBLANK($G13)=TRUE,"",VLOOKUP($F13,Table_IceMaker,3,FALSE)*$G13)</f>
        <v/>
      </c>
      <c r="O13" s="388" t="str">
        <f>IF('Food service'!$H13="","",'Food service'!$H13-'Food service'!$K13)</f>
        <v/>
      </c>
      <c r="P13" s="392" t="str">
        <f t="shared" si="3"/>
        <v/>
      </c>
    </row>
  </sheetData>
  <sheetProtection algorithmName="SHA-512" hashValue="ZZz2MtGjb9Zb9sCPlXKFMYuNhwSxgx/zZVz6cA4FYPVh5wVr+aH6ukW62YaKPSPCc2jGz7hF79AucsiPjaGj5A==" saltValue="E4UU60wR0W8yuNVS5bre7A==" spinCount="100000" sheet="1" objects="1" scenarios="1"/>
  <dataValidations count="3">
    <dataValidation type="list" allowBlank="1" showInputMessage="1" showErrorMessage="1" sqref="E10" xr:uid="{6E35C236-A630-482D-952F-CC62E1EB871C}">
      <formula1>List_ConvectionOven</formula1>
    </dataValidation>
    <dataValidation type="list" allowBlank="1" showInputMessage="1" showErrorMessage="1" sqref="F3:F4 F6:F7" xr:uid="{E158808D-84DB-4552-A8A3-CC6C82BF31DF}">
      <formula1>INDIRECT(SUBSTITUTE(E3," ",""))</formula1>
    </dataValidation>
    <dataValidation type="list" allowBlank="1" showInputMessage="1" showErrorMessage="1" sqref="F5" xr:uid="{4B512025-E2D1-422D-80FF-35EF70FA46B2}">
      <formula1>HighTemp</formula1>
    </dataValidation>
  </dataValidations>
  <pageMargins left="0.7" right="0.7" top="0.75" bottom="0.75" header="0.3" footer="0.3"/>
  <pageSetup scale="75" fitToWidth="0" fitToHeight="0" orientation="landscape" verticalDpi="4294967293"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E3AD973A-9119-4763-B53A-D43930B2CFD9}">
          <x14:formula1>
            <xm:f>'Savings Lookups'!$N$38:$N$41</xm:f>
          </x14:formula1>
          <xm:sqref>E9</xm:sqref>
        </x14:dataValidation>
        <x14:dataValidation type="list" allowBlank="1" showInputMessage="1" showErrorMessage="1" xr:uid="{D92EF063-2DC6-4956-8F37-087877AB58C6}">
          <x14:formula1>
            <xm:f>'Savings Lookups'!$N$45:$N$50</xm:f>
          </x14:formula1>
          <xm:sqref>F13</xm:sqref>
        </x14:dataValidation>
        <x14:dataValidation type="list" allowBlank="1" showInputMessage="1" showErrorMessage="1" xr:uid="{ED146C5D-E5F1-4CEF-835B-89CA31A9785B}">
          <x14:formula1>
            <xm:f>Lookups!$V$2:$W$2</xm:f>
          </x14:formula1>
          <xm:sqref>E3:E4 E6:E7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7D645-0628-444F-B4C0-DD35B216352C}">
  <sheetPr>
    <tabColor theme="0" tint="-0.249977111117893"/>
  </sheetPr>
  <dimension ref="B1:P8"/>
  <sheetViews>
    <sheetView showGridLines="0" showRowColHeaders="0" zoomScaleNormal="100" workbookViewId="0">
      <selection activeCell="E3" sqref="E3"/>
    </sheetView>
  </sheetViews>
  <sheetFormatPr defaultColWidth="9.140625" defaultRowHeight="15" x14ac:dyDescent="0.25"/>
  <cols>
    <col min="1" max="1" width="2.140625" style="5" customWidth="1"/>
    <col min="2" max="2" width="24.42578125" style="5" customWidth="1"/>
    <col min="3" max="3" width="23.42578125" style="5" customWidth="1"/>
    <col min="4" max="4" width="64.7109375" style="4" customWidth="1"/>
    <col min="5" max="5" width="22.140625" style="4" customWidth="1"/>
    <col min="6" max="6" width="20.42578125" style="4" customWidth="1"/>
    <col min="7" max="7" width="14.42578125" style="4" bestFit="1" customWidth="1"/>
    <col min="8" max="8" width="20.7109375" style="5" bestFit="1" customWidth="1"/>
    <col min="9" max="9" width="15.5703125" style="5" bestFit="1" customWidth="1"/>
    <col min="10" max="10" width="9.28515625" style="5" bestFit="1" customWidth="1"/>
    <col min="11" max="11" width="14.7109375" style="5" bestFit="1" customWidth="1"/>
    <col min="12" max="12" width="13.7109375" style="5" bestFit="1" customWidth="1"/>
    <col min="13" max="13" width="11.5703125" style="5" bestFit="1" customWidth="1"/>
    <col min="14" max="14" width="13.7109375" style="5" bestFit="1" customWidth="1"/>
    <col min="15" max="15" width="15.5703125" style="5" bestFit="1" customWidth="1"/>
    <col min="16" max="16" width="16.42578125" style="5" bestFit="1" customWidth="1"/>
    <col min="17" max="16384" width="9.140625" style="5"/>
  </cols>
  <sheetData>
    <row r="1" spans="2:16" s="27" customFormat="1" ht="15.75" x14ac:dyDescent="0.25">
      <c r="H1" s="193">
        <f>SUM(Misc.!$H$3:$H$8)</f>
        <v>0</v>
      </c>
      <c r="K1" s="193">
        <f>SUM($K$3:$K$8)</f>
        <v>0</v>
      </c>
      <c r="L1" s="194">
        <f>SUM(Misc.!$L$3:$L$8)</f>
        <v>0</v>
      </c>
      <c r="M1" s="193">
        <f>SUM(Misc.!$M$3:$M$8)</f>
        <v>0</v>
      </c>
      <c r="N1" s="210">
        <f>SUM(Misc.!$N$3:$N$8)</f>
        <v>0</v>
      </c>
      <c r="O1" s="193">
        <f>H1-K1</f>
        <v>0</v>
      </c>
      <c r="P1" s="195" t="str">
        <f>IFERROR(O1/M1,"")</f>
        <v/>
      </c>
    </row>
    <row r="2" spans="2:16" s="76" customFormat="1" ht="30" x14ac:dyDescent="0.25">
      <c r="B2" s="202" t="s">
        <v>23</v>
      </c>
      <c r="C2" s="202" t="s">
        <v>24</v>
      </c>
      <c r="D2" s="202" t="s">
        <v>665</v>
      </c>
      <c r="E2" s="202" t="s">
        <v>668</v>
      </c>
      <c r="F2" s="202" t="s">
        <v>669</v>
      </c>
      <c r="G2" s="202" t="s">
        <v>655</v>
      </c>
      <c r="H2" s="189" t="s">
        <v>637</v>
      </c>
      <c r="I2" s="202" t="s">
        <v>656</v>
      </c>
      <c r="J2" s="202" t="s">
        <v>657</v>
      </c>
      <c r="K2" s="187" t="s">
        <v>658</v>
      </c>
      <c r="L2" s="202" t="s">
        <v>670</v>
      </c>
      <c r="M2" s="202" t="s">
        <v>640</v>
      </c>
      <c r="N2" s="202" t="s">
        <v>641</v>
      </c>
      <c r="O2" s="202" t="s">
        <v>642</v>
      </c>
      <c r="P2" s="203" t="s">
        <v>643</v>
      </c>
    </row>
    <row r="3" spans="2:16" x14ac:dyDescent="0.25">
      <c r="B3" s="154" t="str">
        <f>IF(ISBLANK($G3)=TRUE,"",VLOOKUP($D3,Table_Measures,5,FALSE))</f>
        <v/>
      </c>
      <c r="C3" s="73" t="s">
        <v>397</v>
      </c>
      <c r="D3" s="211" t="s">
        <v>763</v>
      </c>
      <c r="E3" s="394"/>
      <c r="F3" s="395"/>
      <c r="G3" s="396"/>
      <c r="H3" s="397"/>
      <c r="I3" s="160" t="str">
        <f>IFERROR(VLOOKUP($D3,Table_Measures,4,FALSE),"")</f>
        <v>Aerator</v>
      </c>
      <c r="J3" s="157" t="str">
        <f>IFERROR(VLOOKUP($D3,Table_Measures,IF(Input_ProgramType="Small Commercial Solutions",2,IF(Input_ProgramType="Large Commercial &amp; Industrial Solutions",3)),0),"")</f>
        <v/>
      </c>
      <c r="K3" s="402" t="str">
        <f>IF(ISBLANK($G3)=TRUE,"",$J3*$G3)</f>
        <v/>
      </c>
      <c r="L3" s="399" t="str">
        <f>IF(ISBLANK($G3)=TRUE,"",VLOOKUP($F3,Table_Aerators,2,FALSE)*$G3)</f>
        <v/>
      </c>
      <c r="M3" s="400" t="str">
        <f>IF(Misc.!$L3="","",Misc.!$L3*Input_AvgkWhRate)</f>
        <v/>
      </c>
      <c r="N3" s="401" t="str">
        <f>IF(ISBLANK($G3)=TRUE,"",VLOOKUP($F3,Table_Aerators,3,FALSE)*$G3)</f>
        <v/>
      </c>
      <c r="O3" s="400" t="str">
        <f>IF(Misc.!$H3="","",Misc.!$H3-Misc.!$K3)</f>
        <v/>
      </c>
      <c r="P3" s="387" t="str">
        <f>IFERROR($O3/$M3,"")</f>
        <v/>
      </c>
    </row>
    <row r="4" spans="2:16" x14ac:dyDescent="0.25">
      <c r="B4" s="154" t="str">
        <f>IF(ISBLANK($G4)=TRUE,"",VLOOKUP($D4,Table_Measures,5,FALSE))</f>
        <v/>
      </c>
      <c r="C4" s="73" t="s">
        <v>397</v>
      </c>
      <c r="D4" s="211" t="s">
        <v>764</v>
      </c>
      <c r="E4" s="394"/>
      <c r="F4" s="395"/>
      <c r="G4" s="396"/>
      <c r="H4" s="397"/>
      <c r="I4" s="160" t="str">
        <f>IFERROR(VLOOKUP($D4,Table_Measures,4,FALSE),"")</f>
        <v>Showerhead</v>
      </c>
      <c r="J4" s="157" t="str">
        <f>IFERROR(VLOOKUP($D4,Table_Measures,IF(Input_ProgramType="Small Commercial Solutions",2,IF(Input_ProgramType="Large Commercial &amp; Industrial Solutions",3)),0),"")</f>
        <v/>
      </c>
      <c r="K4" s="384" t="str">
        <f>IF(ISBLANK($G4)=TRUE,"",$J4*$G4)</f>
        <v/>
      </c>
      <c r="L4" s="399" t="str">
        <f>IF(ISBLANK($G4)=TRUE,"",VLOOKUP($F4,Table_Showerhead,2,FALSE)*$G4)</f>
        <v/>
      </c>
      <c r="M4" s="400" t="str">
        <f>IF(Misc.!$L4="","",Misc.!$L4*Input_AvgkWhRate)</f>
        <v/>
      </c>
      <c r="N4" s="401" t="str">
        <f>IF(ISBLANK($G4)=TRUE,"",VLOOKUP($F4,Table_Showerhead,3,FALSE)*$G4)</f>
        <v/>
      </c>
      <c r="O4" s="400" t="str">
        <f>IF(Misc.!$H4="","",Misc.!$H4-Misc.!$K4)</f>
        <v/>
      </c>
      <c r="P4" s="387" t="str">
        <f t="shared" ref="P4:P5" si="0">IFERROR($O4/$M4,"")</f>
        <v/>
      </c>
    </row>
    <row r="5" spans="2:16" x14ac:dyDescent="0.25">
      <c r="B5" s="154" t="str">
        <f>IF(ISBLANK($G5)=TRUE,"",VLOOKUP($D5,Table_Measures,5,FALSE))</f>
        <v/>
      </c>
      <c r="C5" s="73" t="s">
        <v>397</v>
      </c>
      <c r="D5" s="211" t="s">
        <v>62</v>
      </c>
      <c r="E5" s="394"/>
      <c r="F5" s="398"/>
      <c r="G5" s="396"/>
      <c r="H5" s="397"/>
      <c r="I5" s="160" t="str">
        <f>IFERROR(VLOOKUP($D5,Table_Measures,4,FALSE),"")</f>
        <v>Spray Valve</v>
      </c>
      <c r="J5" s="157" t="str">
        <f>IFERROR(VLOOKUP($D5,Table_Measures,IF(Input_ProgramType="Small Commercial Solutions",2,IF(Input_ProgramType="Large Commercial &amp; Industrial Solutions",3)),0),"")</f>
        <v/>
      </c>
      <c r="K5" s="384" t="str">
        <f>IF(ISBLANK($G5)=TRUE,"",$J5*$G5)</f>
        <v/>
      </c>
      <c r="L5" s="399" t="str">
        <f>IF(ISBLANK($G5)=TRUE,"",VLOOKUP($F5,Table_PRSV,2,FALSE)*$G5)</f>
        <v/>
      </c>
      <c r="M5" s="400" t="str">
        <f>IF(Misc.!$L5="","",Misc.!$L5*Input_AvgkWhRate)</f>
        <v/>
      </c>
      <c r="N5" s="401" t="str">
        <f>IF(ISBLANK($G5)=TRUE,"",VLOOKUP($F5,Table_PRSV,3,FALSE)*$G5)</f>
        <v/>
      </c>
      <c r="O5" s="400" t="str">
        <f>IF(Misc.!$H5="","",Misc.!$H5-Misc.!$K5)</f>
        <v/>
      </c>
      <c r="P5" s="387" t="str">
        <f t="shared" si="0"/>
        <v/>
      </c>
    </row>
    <row r="6" spans="2:16" s="76" customFormat="1" ht="30" x14ac:dyDescent="0.25">
      <c r="B6" s="204" t="s">
        <v>23</v>
      </c>
      <c r="C6" s="204" t="s">
        <v>24</v>
      </c>
      <c r="D6" s="204" t="s">
        <v>666</v>
      </c>
      <c r="E6" s="202" t="s">
        <v>667</v>
      </c>
      <c r="F6" s="202"/>
      <c r="G6" s="205" t="s">
        <v>655</v>
      </c>
      <c r="H6" s="189" t="s">
        <v>637</v>
      </c>
      <c r="I6" s="190" t="s">
        <v>656</v>
      </c>
      <c r="J6" s="187" t="s">
        <v>657</v>
      </c>
      <c r="K6" s="187" t="s">
        <v>658</v>
      </c>
      <c r="L6" s="206" t="s">
        <v>670</v>
      </c>
      <c r="M6" s="207" t="s">
        <v>640</v>
      </c>
      <c r="N6" s="208" t="s">
        <v>641</v>
      </c>
      <c r="O6" s="207" t="s">
        <v>642</v>
      </c>
      <c r="P6" s="209" t="s">
        <v>643</v>
      </c>
    </row>
    <row r="7" spans="2:16" x14ac:dyDescent="0.25">
      <c r="B7" s="154" t="str">
        <f>IF(ISBLANK($G7)=TRUE,"",VLOOKUP($D7,Table_Measures,5,FALSE))</f>
        <v/>
      </c>
      <c r="C7" s="73" t="s">
        <v>398</v>
      </c>
      <c r="D7" s="77" t="s">
        <v>765</v>
      </c>
      <c r="E7" s="71"/>
      <c r="F7" s="71"/>
      <c r="G7" s="396"/>
      <c r="H7" s="381"/>
      <c r="I7" s="156" t="str">
        <f>IFERROR(VLOOKUP($D7,Table_Measures,4,FALSE),"")</f>
        <v>Strip</v>
      </c>
      <c r="J7" s="157" t="str">
        <f>IFERROR(VLOOKUP($D7,Table_Measures,IF(Input_ProgramType="Small Commercial Solutions",2,IF(Input_ProgramType="Large Commercial &amp; Industrial Solutions",3)),0),"")</f>
        <v/>
      </c>
      <c r="K7" s="402" t="str">
        <f>IF(ISBLANK($G7)=TRUE,"",$J7*$G7)</f>
        <v/>
      </c>
      <c r="L7" s="399" t="str">
        <f>IF(ISBLANK($G7)=TRUE,"",VLOOKUP(Input_ProgramType,Table_APS,3,FALSE)*$G7)</f>
        <v/>
      </c>
      <c r="M7" s="400" t="str">
        <f>IF(Misc.!$L7="","",Misc.!$L7*Input_AvgkWhRate)</f>
        <v/>
      </c>
      <c r="N7" s="401" t="str">
        <f>IF(ISBLANK($G7)=TRUE,"",VLOOKUP(Input_ProgramType,Table_APS,4,FALSE)*$G7)</f>
        <v/>
      </c>
      <c r="O7" s="400" t="str">
        <f>IF(Misc.!$H7="","",Misc.!$H7-Misc.!$K7)</f>
        <v/>
      </c>
      <c r="P7" s="387" t="str">
        <f t="shared" ref="P7:P8" si="1">IFERROR($O7/$M7,"")</f>
        <v/>
      </c>
    </row>
    <row r="8" spans="2:16" x14ac:dyDescent="0.25">
      <c r="B8" s="155" t="str">
        <f>IF(ISBLANK($G8)=TRUE,"",VLOOKUP($D8,Table_Measures,5,FALSE))</f>
        <v/>
      </c>
      <c r="C8" s="75" t="s">
        <v>398</v>
      </c>
      <c r="D8" s="78" t="s">
        <v>766</v>
      </c>
      <c r="E8" s="381"/>
      <c r="F8" s="71"/>
      <c r="G8" s="380"/>
      <c r="H8" s="381"/>
      <c r="I8" s="156" t="str">
        <f>IFERROR(VLOOKUP($D8,Table_Measures,4,FALSE),"")</f>
        <v>PC</v>
      </c>
      <c r="J8" s="157" t="str">
        <f>IFERROR(VLOOKUP($D8,Table_Measures,IF(Input_ProgramType="Small Commercial Solutions",2,IF(Input_ProgramType="Large Commercial &amp; Industrial Solutions",3)),0),"")</f>
        <v/>
      </c>
      <c r="K8" s="384" t="str">
        <f>IF(ISBLANK($G8)=TRUE,"",$J8*$G8)</f>
        <v/>
      </c>
      <c r="L8" s="399" t="str">
        <f>IF(ISBLANK($G8)=TRUE,"",VLOOKUP($E8,Table_PCPowerMgmt,2,FALSE)*$G8)</f>
        <v/>
      </c>
      <c r="M8" s="400" t="str">
        <f>IF(Misc.!$L8="","",Misc.!$L8*Input_AvgkWhRate)</f>
        <v/>
      </c>
      <c r="N8" s="401" t="str">
        <f>IF(ISBLANK($G8)=TRUE,"",VLOOKUP($E8,Table_PCPowerMgmt,3,FALSE)*$G8)</f>
        <v/>
      </c>
      <c r="O8" s="400" t="str">
        <f>IF(Misc.!$H8="","",Misc.!$H8-Misc.!$K8)</f>
        <v/>
      </c>
      <c r="P8" s="387" t="str">
        <f t="shared" si="1"/>
        <v/>
      </c>
    </row>
  </sheetData>
  <sheetProtection algorithmName="SHA-512" hashValue="8v6J7RiN6Vy+uoOQca2yKSrj/rhC/Ptann6mM8dxTR0UnkUIogE1RRUge6M8GJvWUzlX8CsoWm6uIbGIrlMEfw==" saltValue="E3NDN/XMHPHOfVcrJ+dhJA==" spinCount="100000" sheet="1" objects="1" scenarios="1"/>
  <conditionalFormatting sqref="F3">
    <cfRule type="expression" dxfId="6" priority="8">
      <formula>#REF!="Computer Power Management"</formula>
    </cfRule>
  </conditionalFormatting>
  <conditionalFormatting sqref="F4:F5">
    <cfRule type="expression" dxfId="5" priority="1">
      <formula>#REF!="Computer Power Management"</formula>
    </cfRule>
  </conditionalFormatting>
  <dataValidations count="7">
    <dataValidation type="list" allowBlank="1" showInputMessage="1" showErrorMessage="1" sqref="F3" xr:uid="{9E050A0B-3F23-4535-9BF4-F55F16D10A93}">
      <formula1>List_LowFlowBldgTypes</formula1>
    </dataValidation>
    <dataValidation type="list" allowBlank="1" showInputMessage="1" showErrorMessage="1" sqref="E8" xr:uid="{B2B1A367-C4EF-4305-82BD-DD74ED12589E}">
      <formula1>List_PC</formula1>
    </dataValidation>
    <dataValidation type="list" allowBlank="1" showInputMessage="1" showErrorMessage="1" sqref="F5" xr:uid="{29BCC5B2-707E-47CE-B762-12770BECCC20}">
      <formula1>List_PRSV</formula1>
    </dataValidation>
    <dataValidation type="list" allowBlank="1" showInputMessage="1" showErrorMessage="1" sqref="F4" xr:uid="{A3C35876-5A92-4044-A02B-F33997A95806}">
      <formula1>List_Showerhead</formula1>
    </dataValidation>
    <dataValidation type="decimal" operator="lessThanOrEqual" allowBlank="1" showInputMessage="1" showErrorMessage="1" error="The entered flow rate does not meet the minimum requirement." sqref="E3" xr:uid="{5C529D79-E02F-4795-8C81-831A7BF96B93}">
      <formula1>1.5</formula1>
    </dataValidation>
    <dataValidation type="decimal" operator="lessThanOrEqual" allowBlank="1" showInputMessage="1" showErrorMessage="1" error="The entered flow rate does not meet the minimum requirement." sqref="E4" xr:uid="{906D2FF0-785E-45E6-AD8C-A1943E06088C}">
      <formula1>1.75</formula1>
    </dataValidation>
    <dataValidation type="decimal" operator="lessThanOrEqual" allowBlank="1" showInputMessage="1" showErrorMessage="1" error="The entered flow rate does not meet the minimum requirement." sqref="E5" xr:uid="{A753774C-ACFA-4F55-8EC1-A7AD2B2BFD62}">
      <formula1>1.28</formula1>
    </dataValidation>
  </dataValidations>
  <pageMargins left="0.7" right="0.7" top="0.75" bottom="0.75" header="0.3" footer="0.3"/>
  <pageSetup scale="75" fitToWidth="0" fitToHeight="0" orientation="landscape" verticalDpi="4294967293"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86EDF-C2AA-4026-B8E4-14A97F1085B8}">
  <sheetPr>
    <tabColor theme="0" tint="-0.249977111117893"/>
  </sheetPr>
  <dimension ref="B1:G15"/>
  <sheetViews>
    <sheetView showRowColHeaders="0" zoomScaleNormal="100" workbookViewId="0">
      <selection activeCell="C3" sqref="C3"/>
    </sheetView>
  </sheetViews>
  <sheetFormatPr defaultColWidth="8.85546875" defaultRowHeight="12.75" x14ac:dyDescent="0.25"/>
  <cols>
    <col min="1" max="1" width="5" style="63" customWidth="1"/>
    <col min="2" max="2" width="37.42578125" style="63" bestFit="1" customWidth="1"/>
    <col min="3" max="3" width="42.140625" style="63" customWidth="1"/>
    <col min="4" max="4" width="56.85546875" style="63" customWidth="1"/>
    <col min="5" max="5" width="5.7109375" style="63" customWidth="1"/>
    <col min="6" max="6" width="40.85546875" style="63" bestFit="1" customWidth="1"/>
    <col min="7" max="7" width="18.42578125" style="63" bestFit="1" customWidth="1"/>
    <col min="8" max="16384" width="8.85546875" style="63"/>
  </cols>
  <sheetData>
    <row r="1" spans="2:7" ht="13.5" thickBot="1" x14ac:dyDescent="0.3"/>
    <row r="2" spans="2:7" ht="18.75" thickBot="1" x14ac:dyDescent="0.3">
      <c r="B2" s="426" t="s">
        <v>708</v>
      </c>
      <c r="C2" s="427"/>
      <c r="D2" s="428"/>
      <c r="F2" s="64" t="s">
        <v>67</v>
      </c>
      <c r="G2" s="217">
        <f>C11-C12</f>
        <v>0</v>
      </c>
    </row>
    <row r="3" spans="2:7" ht="25.5" x14ac:dyDescent="0.25">
      <c r="B3" s="65" t="s">
        <v>68</v>
      </c>
      <c r="C3" s="212"/>
      <c r="D3" s="66" t="s">
        <v>69</v>
      </c>
      <c r="F3" s="67" t="s">
        <v>70</v>
      </c>
      <c r="G3" s="218">
        <f>C13-C14</f>
        <v>0</v>
      </c>
    </row>
    <row r="4" spans="2:7" x14ac:dyDescent="0.25">
      <c r="B4" s="67" t="s">
        <v>71</v>
      </c>
      <c r="C4" s="213"/>
      <c r="D4" s="68" t="s">
        <v>72</v>
      </c>
      <c r="F4" s="67" t="s">
        <v>73</v>
      </c>
      <c r="G4" s="219">
        <f>G$3*Input_AvgkWhRate</f>
        <v>0</v>
      </c>
    </row>
    <row r="5" spans="2:7" ht="38.25" x14ac:dyDescent="0.25">
      <c r="B5" s="67" t="s">
        <v>74</v>
      </c>
      <c r="C5" s="213"/>
      <c r="D5" s="68" t="s">
        <v>75</v>
      </c>
      <c r="F5" s="67" t="s">
        <v>76</v>
      </c>
      <c r="G5" s="219">
        <f>C15</f>
        <v>0</v>
      </c>
    </row>
    <row r="6" spans="2:7" ht="25.5" x14ac:dyDescent="0.25">
      <c r="B6" s="67" t="s">
        <v>77</v>
      </c>
      <c r="C6" s="213"/>
      <c r="D6" s="68" t="s">
        <v>78</v>
      </c>
      <c r="F6" s="67" t="s">
        <v>495</v>
      </c>
      <c r="G6" s="219">
        <f>IF(Input_ProgramType="Large Commercial &amp; Industrial Solutions",$G$3*0.09,IF(Input_ProgramType="Small Commercial Solutions",$G$3*0.16,0))</f>
        <v>0</v>
      </c>
    </row>
    <row r="7" spans="2:7" ht="26.25" thickBot="1" x14ac:dyDescent="0.3">
      <c r="B7" s="67" t="s">
        <v>79</v>
      </c>
      <c r="C7" s="213"/>
      <c r="D7" s="68" t="s">
        <v>80</v>
      </c>
      <c r="F7" s="69" t="s">
        <v>81</v>
      </c>
      <c r="G7" s="220">
        <f>IFERROR((G5-G6)/G4,0)</f>
        <v>0</v>
      </c>
    </row>
    <row r="8" spans="2:7" ht="38.25" x14ac:dyDescent="0.25">
      <c r="B8" s="67" t="s">
        <v>82</v>
      </c>
      <c r="C8" s="213"/>
      <c r="D8" s="68" t="s">
        <v>83</v>
      </c>
    </row>
    <row r="9" spans="2:7" ht="25.5" x14ac:dyDescent="0.25">
      <c r="B9" s="67" t="s">
        <v>84</v>
      </c>
      <c r="C9" s="213"/>
      <c r="D9" s="68" t="s">
        <v>85</v>
      </c>
    </row>
    <row r="10" spans="2:7" ht="25.5" x14ac:dyDescent="0.25">
      <c r="B10" s="67" t="s">
        <v>86</v>
      </c>
      <c r="C10" s="213"/>
      <c r="D10" s="68" t="s">
        <v>87</v>
      </c>
    </row>
    <row r="11" spans="2:7" ht="76.5" x14ac:dyDescent="0.25">
      <c r="B11" s="67" t="s">
        <v>88</v>
      </c>
      <c r="C11" s="214"/>
      <c r="D11" s="68" t="s">
        <v>89</v>
      </c>
    </row>
    <row r="12" spans="2:7" ht="76.5" x14ac:dyDescent="0.25">
      <c r="B12" s="67" t="s">
        <v>90</v>
      </c>
      <c r="C12" s="214"/>
      <c r="D12" s="68" t="s">
        <v>91</v>
      </c>
    </row>
    <row r="13" spans="2:7" ht="76.5" x14ac:dyDescent="0.25">
      <c r="B13" s="67" t="s">
        <v>92</v>
      </c>
      <c r="C13" s="215"/>
      <c r="D13" s="68" t="s">
        <v>93</v>
      </c>
    </row>
    <row r="14" spans="2:7" ht="76.5" x14ac:dyDescent="0.25">
      <c r="B14" s="67" t="s">
        <v>94</v>
      </c>
      <c r="C14" s="215"/>
      <c r="D14" s="68" t="s">
        <v>95</v>
      </c>
    </row>
    <row r="15" spans="2:7" ht="64.5" thickBot="1" x14ac:dyDescent="0.3">
      <c r="B15" s="69" t="s">
        <v>96</v>
      </c>
      <c r="C15" s="216"/>
      <c r="D15" s="70" t="s">
        <v>97</v>
      </c>
    </row>
  </sheetData>
  <sheetProtection algorithmName="SHA-512" hashValue="iPobC/UJxxxWAJOAVaztvtSE0XItbfVPkYAdnITWY7HOdrgenJrv6iUq3W4tJbeFsbKn4RkqaZkPMzgxQovXaw==" saltValue="emRpfIcT1AU8do/epZ4I7w==" spinCount="100000" sheet="1" selectLockedCells="1"/>
  <mergeCells count="1">
    <mergeCell ref="B2:D2"/>
  </mergeCells>
  <dataValidations count="2">
    <dataValidation type="list" allowBlank="1" showInputMessage="1" showErrorMessage="1" sqref="C4" xr:uid="{0B1A9B34-014F-4D70-9DFA-8410C5BA2F83}">
      <formula1>List_CustomTypes</formula1>
    </dataValidation>
    <dataValidation type="list" allowBlank="1" showInputMessage="1" showErrorMessage="1" sqref="C5" xr:uid="{0C70F3DA-D5D0-4AB3-BF6C-C2E9BC311B9F}">
      <formula1>List_CustomClass</formula1>
    </dataValidation>
  </dataValidations>
  <hyperlinks>
    <hyperlink ref="B5" location="Instructions!C26" display="Project Classification - 5" xr:uid="{59BB677A-1F07-49F9-8C29-CE4FC34B358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B9A73-51A6-4069-B858-DC9B9AC762D8}">
  <sheetPr>
    <tabColor rgb="FFED1653"/>
    <pageSetUpPr fitToPage="1"/>
  </sheetPr>
  <dimension ref="A1:E50"/>
  <sheetViews>
    <sheetView showGridLines="0" showRowColHeaders="0" view="pageBreakPreview" zoomScaleNormal="100" zoomScaleSheetLayoutView="100" workbookViewId="0">
      <selection activeCell="C7" sqref="C7:E7"/>
    </sheetView>
  </sheetViews>
  <sheetFormatPr defaultRowHeight="14.25" x14ac:dyDescent="0.2"/>
  <cols>
    <col min="1" max="1" width="28.42578125" style="6" customWidth="1"/>
    <col min="2" max="2" width="34" style="6" customWidth="1"/>
    <col min="3" max="3" width="19.140625" style="6" customWidth="1"/>
    <col min="4" max="4" width="15.7109375" style="6" customWidth="1"/>
    <col min="5" max="5" width="15.5703125" style="6" customWidth="1"/>
    <col min="6" max="16384" width="9.140625" style="6"/>
  </cols>
  <sheetData>
    <row r="1" spans="1:5" x14ac:dyDescent="0.2">
      <c r="A1" s="172"/>
      <c r="B1" s="172"/>
      <c r="C1" s="172"/>
      <c r="D1" s="172"/>
      <c r="E1" s="172"/>
    </row>
    <row r="2" spans="1:5" ht="63.75" customHeight="1" x14ac:dyDescent="0.35">
      <c r="A2" s="221"/>
    </row>
    <row r="3" spans="1:5" ht="25.5" x14ac:dyDescent="0.35">
      <c r="A3" s="221" t="s">
        <v>671</v>
      </c>
    </row>
    <row r="4" spans="1:5" ht="20.25" x14ac:dyDescent="0.3">
      <c r="A4" s="222" t="s">
        <v>672</v>
      </c>
    </row>
    <row r="5" spans="1:5" s="224" customFormat="1" ht="15" customHeight="1" x14ac:dyDescent="0.2">
      <c r="A5" s="435" t="s">
        <v>676</v>
      </c>
      <c r="B5" s="223" t="s">
        <v>709</v>
      </c>
      <c r="C5" s="438" t="str">
        <f>IF(QC!B1="","",QC!B1)</f>
        <v/>
      </c>
      <c r="D5" s="439"/>
      <c r="E5" s="440"/>
    </row>
    <row r="6" spans="1:5" s="224" customFormat="1" ht="15" x14ac:dyDescent="0.2">
      <c r="A6" s="436"/>
      <c r="B6" s="223" t="s">
        <v>710</v>
      </c>
      <c r="C6" s="441" t="str">
        <f>'Fillable application &amp; instruct'!F30&amp;", "&amp;'Fillable application &amp; instruct'!F31&amp;", "&amp;'Fillable application &amp; instruct'!F32&amp;" "&amp;'Fillable application &amp; instruct'!F33</f>
        <v xml:space="preserve">, ,  </v>
      </c>
      <c r="D6" s="442"/>
      <c r="E6" s="443"/>
    </row>
    <row r="7" spans="1:5" s="224" customFormat="1" ht="15" x14ac:dyDescent="0.2">
      <c r="A7" s="437"/>
      <c r="B7" s="225" t="s">
        <v>711</v>
      </c>
      <c r="C7" s="444"/>
      <c r="D7" s="445"/>
      <c r="E7" s="446"/>
    </row>
    <row r="8" spans="1:5" s="224" customFormat="1" ht="15" customHeight="1" x14ac:dyDescent="0.2">
      <c r="A8" s="447" t="s">
        <v>677</v>
      </c>
      <c r="B8" s="226" t="s">
        <v>712</v>
      </c>
      <c r="C8" s="449" t="str">
        <f>IF(ISTEXT('Fillable application &amp; instruct'!C9)=TRUE,'Fillable application &amp; instruct'!C9,"")</f>
        <v/>
      </c>
      <c r="D8" s="450"/>
      <c r="E8" s="451"/>
    </row>
    <row r="9" spans="1:5" s="224" customFormat="1" ht="15" x14ac:dyDescent="0.2">
      <c r="A9" s="448"/>
      <c r="B9" s="223" t="s">
        <v>713</v>
      </c>
      <c r="C9" s="438" t="str">
        <f>IF(ISTEXT('Fillable application &amp; instruct'!C18)=TRUE,'Fillable application &amp; instruct'!C18,"")</f>
        <v/>
      </c>
      <c r="D9" s="439"/>
      <c r="E9" s="440"/>
    </row>
    <row r="10" spans="1:5" s="224" customFormat="1" ht="7.5" customHeight="1" thickBot="1" x14ac:dyDescent="0.25">
      <c r="A10" s="227"/>
      <c r="B10" s="227"/>
      <c r="C10" s="227"/>
      <c r="D10" s="227"/>
      <c r="E10" s="227"/>
    </row>
    <row r="11" spans="1:5" s="224" customFormat="1" ht="4.5" customHeight="1" x14ac:dyDescent="0.2"/>
    <row r="12" spans="1:5" s="224" customFormat="1" ht="15.75" x14ac:dyDescent="0.25">
      <c r="A12" s="228" t="s">
        <v>674</v>
      </c>
      <c r="B12" s="229"/>
      <c r="C12" s="229"/>
      <c r="D12" s="229"/>
    </row>
    <row r="13" spans="1:5" ht="12" customHeight="1" x14ac:dyDescent="0.2">
      <c r="A13" s="230" t="s">
        <v>110</v>
      </c>
      <c r="B13" s="230"/>
      <c r="C13" s="230"/>
      <c r="D13" s="230"/>
    </row>
    <row r="14" spans="1:5" s="224" customFormat="1" ht="7.5" customHeight="1" x14ac:dyDescent="0.2"/>
    <row r="15" spans="1:5" s="224" customFormat="1" ht="45" x14ac:dyDescent="0.2">
      <c r="A15" s="429" t="s">
        <v>678</v>
      </c>
      <c r="B15" s="231" t="s">
        <v>714</v>
      </c>
      <c r="C15" s="232" t="s">
        <v>717</v>
      </c>
      <c r="D15" s="232" t="s">
        <v>718</v>
      </c>
      <c r="E15" s="232" t="s">
        <v>719</v>
      </c>
    </row>
    <row r="16" spans="1:5" s="224" customFormat="1" ht="15" x14ac:dyDescent="0.2">
      <c r="A16" s="429"/>
      <c r="B16" s="403" t="s">
        <v>715</v>
      </c>
      <c r="C16" s="404" t="s">
        <v>63</v>
      </c>
      <c r="D16" s="404" t="s">
        <v>63</v>
      </c>
      <c r="E16" s="404" t="s">
        <v>63</v>
      </c>
    </row>
    <row r="17" spans="1:5" s="224" customFormat="1" ht="15" x14ac:dyDescent="0.2">
      <c r="A17" s="429"/>
      <c r="B17" s="403" t="s">
        <v>716</v>
      </c>
      <c r="C17" s="404">
        <f>Summary!C11</f>
        <v>0</v>
      </c>
      <c r="D17" s="411">
        <f>Summary!E11</f>
        <v>0</v>
      </c>
      <c r="E17" s="404">
        <f>SUMIF('APTracks Export Data'!B:B,"Custom",'APTracks Export Data'!J:J)</f>
        <v>0</v>
      </c>
    </row>
    <row r="18" spans="1:5" s="224" customFormat="1" ht="15" x14ac:dyDescent="0.2">
      <c r="A18" s="429"/>
      <c r="B18" s="403" t="s">
        <v>20</v>
      </c>
      <c r="C18" s="404">
        <f>Summary!C10</f>
        <v>0</v>
      </c>
      <c r="D18" s="411">
        <f>Summary!E10</f>
        <v>0</v>
      </c>
      <c r="E18" s="404">
        <f>SUMIF('APTracks Export Data'!$B$4:$B$55,"&lt;&gt;"&amp;"Custom",'APTracks Export Data'!$J$4:$J$55)</f>
        <v>0</v>
      </c>
    </row>
    <row r="19" spans="1:5" s="224" customFormat="1" ht="15" x14ac:dyDescent="0.2">
      <c r="A19" s="429"/>
      <c r="B19" s="233" t="s">
        <v>720</v>
      </c>
      <c r="C19" s="234"/>
      <c r="D19" s="235"/>
      <c r="E19" s="234"/>
    </row>
    <row r="20" spans="1:5" s="224" customFormat="1" ht="15" x14ac:dyDescent="0.2">
      <c r="A20" s="429"/>
      <c r="B20" s="403" t="s">
        <v>562</v>
      </c>
      <c r="C20" s="404">
        <f>Summary!$C$5</f>
        <v>0</v>
      </c>
      <c r="D20" s="411"/>
      <c r="E20" s="404"/>
    </row>
    <row r="21" spans="1:5" s="224" customFormat="1" ht="15" x14ac:dyDescent="0.2">
      <c r="A21" s="429"/>
      <c r="B21" s="403" t="s">
        <v>563</v>
      </c>
      <c r="C21" s="404">
        <f>Summary!$C$6</f>
        <v>0</v>
      </c>
      <c r="D21" s="411"/>
      <c r="E21" s="404"/>
    </row>
    <row r="22" spans="1:5" s="224" customFormat="1" ht="15" x14ac:dyDescent="0.2">
      <c r="A22" s="429"/>
      <c r="B22" s="403" t="s">
        <v>564</v>
      </c>
      <c r="C22" s="404">
        <f>Summary!$C$7</f>
        <v>0</v>
      </c>
      <c r="D22" s="411"/>
      <c r="E22" s="404"/>
    </row>
    <row r="23" spans="1:5" s="224" customFormat="1" ht="15.75" x14ac:dyDescent="0.25">
      <c r="A23" s="429"/>
      <c r="B23" s="412" t="s">
        <v>22</v>
      </c>
      <c r="C23" s="413">
        <f>SUM(C16:C18,C20:C22)</f>
        <v>0</v>
      </c>
      <c r="D23" s="414">
        <f>SUM(D16:D18)</f>
        <v>0</v>
      </c>
      <c r="E23" s="413">
        <f>SUM(E16:E18)</f>
        <v>0</v>
      </c>
    </row>
    <row r="24" spans="1:5" s="224" customFormat="1" ht="7.5" customHeight="1" thickBot="1" x14ac:dyDescent="0.25">
      <c r="A24" s="227"/>
      <c r="B24" s="227"/>
      <c r="C24" s="227"/>
      <c r="D24" s="227"/>
      <c r="E24" s="227"/>
    </row>
    <row r="25" spans="1:5" s="224" customFormat="1" ht="4.5" customHeight="1" x14ac:dyDescent="0.2"/>
    <row r="26" spans="1:5" s="224" customFormat="1" ht="31.5" customHeight="1" x14ac:dyDescent="0.25">
      <c r="A26" s="432" t="s">
        <v>673</v>
      </c>
      <c r="B26" s="433"/>
      <c r="C26" s="433"/>
      <c r="D26" s="433"/>
      <c r="E26" s="433"/>
    </row>
    <row r="27" spans="1:5" s="224" customFormat="1" ht="7.5" customHeight="1" thickBot="1" x14ac:dyDescent="0.25"/>
    <row r="28" spans="1:5" s="224" customFormat="1" ht="25.5" customHeight="1" x14ac:dyDescent="0.2">
      <c r="A28" s="236" t="s">
        <v>679</v>
      </c>
      <c r="B28" s="405"/>
      <c r="C28" s="237" t="s">
        <v>682</v>
      </c>
      <c r="D28" s="405"/>
      <c r="E28" s="406"/>
    </row>
    <row r="29" spans="1:5" s="224" customFormat="1" ht="25.5" customHeight="1" x14ac:dyDescent="0.2">
      <c r="A29" s="238" t="s">
        <v>111</v>
      </c>
      <c r="B29" s="408"/>
      <c r="C29" s="239" t="s">
        <v>585</v>
      </c>
      <c r="D29" s="408"/>
      <c r="E29" s="407"/>
    </row>
    <row r="30" spans="1:5" s="224" customFormat="1" ht="25.5" customHeight="1" x14ac:dyDescent="0.2">
      <c r="A30" s="238" t="s">
        <v>680</v>
      </c>
      <c r="B30" s="408" t="s">
        <v>586</v>
      </c>
      <c r="C30" s="408"/>
      <c r="D30" s="408"/>
      <c r="E30" s="407"/>
    </row>
    <row r="31" spans="1:5" s="224" customFormat="1" ht="25.5" customHeight="1" thickBot="1" x14ac:dyDescent="0.25">
      <c r="A31" s="240" t="s">
        <v>681</v>
      </c>
      <c r="B31" s="241"/>
      <c r="C31" s="241"/>
      <c r="D31" s="410"/>
      <c r="E31" s="409"/>
    </row>
    <row r="32" spans="1:5" s="224" customFormat="1" ht="7.5" customHeight="1" thickBot="1" x14ac:dyDescent="0.25">
      <c r="A32" s="242"/>
      <c r="B32" s="242"/>
      <c r="C32" s="242"/>
      <c r="D32" s="242"/>
      <c r="E32" s="242"/>
    </row>
    <row r="33" spans="1:5" s="224" customFormat="1" ht="4.5" customHeight="1" x14ac:dyDescent="0.2">
      <c r="A33" s="229"/>
      <c r="B33" s="229"/>
      <c r="C33" s="229"/>
      <c r="D33" s="229"/>
      <c r="E33" s="229"/>
    </row>
    <row r="34" spans="1:5" s="224" customFormat="1" ht="54.75" customHeight="1" x14ac:dyDescent="0.2">
      <c r="A34" s="430" t="s">
        <v>737</v>
      </c>
      <c r="B34" s="431"/>
      <c r="C34" s="431"/>
      <c r="D34" s="431"/>
      <c r="E34" s="431"/>
    </row>
    <row r="35" spans="1:5" s="224" customFormat="1" ht="5.25" customHeight="1" x14ac:dyDescent="0.2">
      <c r="A35" s="229"/>
      <c r="B35" s="229"/>
      <c r="C35" s="229"/>
      <c r="D35" s="229"/>
      <c r="E35" s="229"/>
    </row>
    <row r="36" spans="1:5" s="224" customFormat="1" ht="11.25" customHeight="1" x14ac:dyDescent="0.2">
      <c r="A36" s="243" t="s">
        <v>112</v>
      </c>
      <c r="B36" s="229"/>
      <c r="C36" s="229"/>
      <c r="D36" s="229"/>
      <c r="E36" s="229"/>
    </row>
    <row r="37" spans="1:5" s="224" customFormat="1" ht="12.75" customHeight="1" x14ac:dyDescent="0.2">
      <c r="A37" s="229"/>
      <c r="B37" s="229"/>
      <c r="C37" s="229"/>
      <c r="D37" s="229"/>
      <c r="E37" s="229"/>
    </row>
    <row r="38" spans="1:5" s="246" customFormat="1" ht="12" customHeight="1" x14ac:dyDescent="0.2">
      <c r="A38" s="244" t="s">
        <v>683</v>
      </c>
      <c r="B38" s="245"/>
      <c r="C38" s="245"/>
      <c r="D38" s="244" t="s">
        <v>584</v>
      </c>
      <c r="E38" s="245"/>
    </row>
    <row r="39" spans="1:5" s="224" customFormat="1" ht="7.5" customHeight="1" thickBot="1" x14ac:dyDescent="0.25">
      <c r="A39" s="242"/>
      <c r="B39" s="242"/>
      <c r="C39" s="242"/>
      <c r="D39" s="242"/>
      <c r="E39" s="242"/>
    </row>
    <row r="40" spans="1:5" s="224" customFormat="1" ht="4.5" customHeight="1" x14ac:dyDescent="0.2">
      <c r="A40" s="229"/>
      <c r="B40" s="229"/>
      <c r="C40" s="229"/>
      <c r="D40" s="229"/>
      <c r="E40" s="229"/>
    </row>
    <row r="41" spans="1:5" s="224" customFormat="1" ht="15" x14ac:dyDescent="0.2">
      <c r="A41" s="230" t="s">
        <v>684</v>
      </c>
      <c r="B41" s="229"/>
      <c r="C41" s="229"/>
      <c r="D41" s="229"/>
      <c r="E41" s="229"/>
    </row>
    <row r="42" spans="1:5" s="224" customFormat="1" ht="15.75" x14ac:dyDescent="0.25">
      <c r="A42" s="230" t="s">
        <v>675</v>
      </c>
      <c r="B42" s="229"/>
      <c r="C42" s="229"/>
      <c r="D42" s="229"/>
      <c r="E42" s="229"/>
    </row>
    <row r="43" spans="1:5" s="224" customFormat="1" ht="15" x14ac:dyDescent="0.2">
      <c r="A43" s="247" t="s">
        <v>738</v>
      </c>
      <c r="B43" s="229"/>
      <c r="C43" s="229"/>
      <c r="D43" s="229"/>
      <c r="E43" s="229"/>
    </row>
    <row r="44" spans="1:5" s="224" customFormat="1" ht="15" x14ac:dyDescent="0.2">
      <c r="A44" s="247" t="s">
        <v>114</v>
      </c>
      <c r="B44" s="229"/>
      <c r="C44" s="229"/>
      <c r="D44" s="229"/>
      <c r="E44" s="229"/>
    </row>
    <row r="45" spans="1:5" s="224" customFormat="1" ht="15" x14ac:dyDescent="0.2">
      <c r="A45" s="247" t="s">
        <v>115</v>
      </c>
      <c r="B45" s="229"/>
      <c r="C45" s="229"/>
      <c r="D45" s="229"/>
      <c r="E45" s="229"/>
    </row>
    <row r="46" spans="1:5" s="224" customFormat="1" ht="15" x14ac:dyDescent="0.2">
      <c r="A46" s="247" t="s">
        <v>739</v>
      </c>
      <c r="B46" s="229"/>
      <c r="C46" s="229"/>
      <c r="D46" s="229"/>
      <c r="E46" s="229"/>
    </row>
    <row r="47" spans="1:5" s="224" customFormat="1" ht="15" x14ac:dyDescent="0.2"/>
    <row r="48" spans="1:5" s="224" customFormat="1" ht="15" x14ac:dyDescent="0.2">
      <c r="A48" s="434" t="s">
        <v>815</v>
      </c>
      <c r="B48" s="434"/>
      <c r="C48" s="434"/>
    </row>
    <row r="49" spans="1:5" ht="11.25" customHeight="1" x14ac:dyDescent="0.25">
      <c r="A49" s="434"/>
      <c r="B49" s="434"/>
      <c r="C49" s="434"/>
      <c r="E49" s="248"/>
    </row>
    <row r="50" spans="1:5" ht="11.25" customHeight="1" x14ac:dyDescent="0.2">
      <c r="A50" s="434"/>
      <c r="B50" s="434"/>
      <c r="C50" s="434"/>
    </row>
  </sheetData>
  <sheetProtection algorithmName="SHA-512" hashValue="iRXraWwVYlGXtGoZ774eFlO0XnR2Jf+BNHBSo7i0js+JHCOVOJ5ovFO7bFartBdnxtv2umj1uleK+9z3P9spqw==" saltValue="Cy+THoUVa5jDAPYkyQsszQ==" spinCount="100000" sheet="1" objects="1" scenarios="1"/>
  <mergeCells count="11">
    <mergeCell ref="A15:A23"/>
    <mergeCell ref="A34:E34"/>
    <mergeCell ref="A26:E26"/>
    <mergeCell ref="A48:C50"/>
    <mergeCell ref="A5:A7"/>
    <mergeCell ref="C5:E5"/>
    <mergeCell ref="C6:E6"/>
    <mergeCell ref="C7:E7"/>
    <mergeCell ref="A8:A9"/>
    <mergeCell ref="C8:E8"/>
    <mergeCell ref="C9:E9"/>
  </mergeCells>
  <pageMargins left="0.25" right="0.25" top="0.5" bottom="0.25" header="0.3" footer="0.3"/>
  <pageSetup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af5a3b8-19fe-4aaf-8551-0b725c993cda"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b5cfd83b-967a-4dd6-b4c3-395873c23523">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1BE389EA3527F41A12B5160341A5618" ma:contentTypeVersion="54" ma:contentTypeDescription="Create a new document." ma:contentTypeScope="" ma:versionID="ffc86f2881602955b170c724c926df9a">
  <xsd:schema xmlns:xsd="http://www.w3.org/2001/XMLSchema" xmlns:xs="http://www.w3.org/2001/XMLSchema" xmlns:p="http://schemas.microsoft.com/office/2006/metadata/properties" xmlns:ns2="b5cfd83b-967a-4dd6-b4c3-395873c23523" xmlns:ns3="08b87bea-166c-4b49-8da3-b6b44dc13847" xmlns:ns4="6b2b484f-4c19-4c24-b89d-0399ef7e60bb" targetNamespace="http://schemas.microsoft.com/office/2006/metadata/properties" ma:root="true" ma:fieldsID="cf7b7ef6dae34e3a1b45c3159704dfce" ns2:_="" ns3:_="" ns4:_="">
    <xsd:import namespace="b5cfd83b-967a-4dd6-b4c3-395873c23523"/>
    <xsd:import namespace="08b87bea-166c-4b49-8da3-b6b44dc13847"/>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cfd83b-967a-4dd6-b4c3-395873c235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87bea-166c-4b49-8da3-b6b44dc138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E50F1C-15DA-45E9-ACE8-A9BF452DD6F1}">
  <ds:schemaRefs>
    <ds:schemaRef ds:uri="Microsoft.SharePoint.Taxonomy.ContentTypeSync"/>
  </ds:schemaRefs>
</ds:datastoreItem>
</file>

<file path=customXml/itemProps2.xml><?xml version="1.0" encoding="utf-8"?>
<ds:datastoreItem xmlns:ds="http://schemas.openxmlformats.org/officeDocument/2006/customXml" ds:itemID="{B8F538E9-556C-4740-9384-70820DA6A959}">
  <ds:schemaRefs>
    <ds:schemaRef ds:uri="http://schemas.microsoft.com/sharepoint/v3/contenttype/forms"/>
  </ds:schemaRefs>
</ds:datastoreItem>
</file>

<file path=customXml/itemProps3.xml><?xml version="1.0" encoding="utf-8"?>
<ds:datastoreItem xmlns:ds="http://schemas.openxmlformats.org/officeDocument/2006/customXml" ds:itemID="{6CB6706F-DDF4-41B7-B137-65BA3C1C0B78}">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e60f72a-c8ae-4539-9a8b-cdf6aa651c8d"/>
    <ds:schemaRef ds:uri="http://purl.org/dc/elements/1.1/"/>
    <ds:schemaRef ds:uri="cfc8a10d-5fb7-42dd-aaed-353cddc613a4"/>
    <ds:schemaRef ds:uri="http://www.w3.org/XML/1998/namespace"/>
    <ds:schemaRef ds:uri="http://purl.org/dc/dcmitype/"/>
  </ds:schemaRefs>
</ds:datastoreItem>
</file>

<file path=customXml/itemProps4.xml><?xml version="1.0" encoding="utf-8"?>
<ds:datastoreItem xmlns:ds="http://schemas.openxmlformats.org/officeDocument/2006/customXml" ds:itemID="{3033DA8B-FCD4-44AA-BC89-81CC2FA8F2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71</vt:i4>
      </vt:variant>
    </vt:vector>
  </HeadingPairs>
  <TitlesOfParts>
    <vt:vector size="86" baseType="lpstr">
      <vt:lpstr>Fillable application &amp; instruct</vt:lpstr>
      <vt:lpstr>Equipment qualifications</vt:lpstr>
      <vt:lpstr>Summary</vt:lpstr>
      <vt:lpstr>HVAC</vt:lpstr>
      <vt:lpstr>Refrigeration</vt:lpstr>
      <vt:lpstr>Food service</vt:lpstr>
      <vt:lpstr>Misc.</vt:lpstr>
      <vt:lpstr>Custom</vt:lpstr>
      <vt:lpstr>Completion notice</vt:lpstr>
      <vt:lpstr>QC</vt:lpstr>
      <vt:lpstr>Printable application</vt:lpstr>
      <vt:lpstr>Lookups</vt:lpstr>
      <vt:lpstr>Savings Lookups</vt:lpstr>
      <vt:lpstr>APTracks Export Data</vt:lpstr>
      <vt:lpstr>Change Log</vt:lpstr>
      <vt:lpstr>Flag_Incentive</vt:lpstr>
      <vt:lpstr>HighTemp</vt:lpstr>
      <vt:lpstr>Input_AvgkWhRate</vt:lpstr>
      <vt:lpstr>Input_BldgType</vt:lpstr>
      <vt:lpstr>Input_Bonus</vt:lpstr>
      <vt:lpstr>Input_BonusMeasureNumber</vt:lpstr>
      <vt:lpstr>Input_HVACType</vt:lpstr>
      <vt:lpstr>Input_ProgramType</vt:lpstr>
      <vt:lpstr>Input_ProjectNumber</vt:lpstr>
      <vt:lpstr>Input_Usage</vt:lpstr>
      <vt:lpstr>List_ACUnitMeasures</vt:lpstr>
      <vt:lpstr>List_BldgTypes</vt:lpstr>
      <vt:lpstr>List_ConvectionOven</vt:lpstr>
      <vt:lpstr>List_CurtainType</vt:lpstr>
      <vt:lpstr>List_CustomClass</vt:lpstr>
      <vt:lpstr>List_CustomTypes</vt:lpstr>
      <vt:lpstr>List_HPUnitMeasures</vt:lpstr>
      <vt:lpstr>List_HVACTypes</vt:lpstr>
      <vt:lpstr>List_LowFlowBldgTypes</vt:lpstr>
      <vt:lpstr>List_PC</vt:lpstr>
      <vt:lpstr>List_ProgramNames</vt:lpstr>
      <vt:lpstr>List_ProjectStage</vt:lpstr>
      <vt:lpstr>List_PRSV</vt:lpstr>
      <vt:lpstr>List_RefrCaseType</vt:lpstr>
      <vt:lpstr>List_Refrigeration</vt:lpstr>
      <vt:lpstr>List_RefrSizes</vt:lpstr>
      <vt:lpstr>List_Showerhead</vt:lpstr>
      <vt:lpstr>List_StripCurtainBaseline</vt:lpstr>
      <vt:lpstr>List_StripCurtainsBuildings</vt:lpstr>
      <vt:lpstr>LowTemp</vt:lpstr>
      <vt:lpstr>'Completion notice'!Print_Area</vt:lpstr>
      <vt:lpstr>'Fillable application &amp; instruct'!Print_Area</vt:lpstr>
      <vt:lpstr>'Printable application'!Print_Area</vt:lpstr>
      <vt:lpstr>Subtotal_CustomIncentive</vt:lpstr>
      <vt:lpstr>Subtotal_Incentive</vt:lpstr>
      <vt:lpstr>Subtotal_PrescriptiveIncentive</vt:lpstr>
      <vt:lpstr>Table_ACHPFactors</vt:lpstr>
      <vt:lpstr>Table_ACTU</vt:lpstr>
      <vt:lpstr>Table_ACTUFactors</vt:lpstr>
      <vt:lpstr>Table_Aerators</vt:lpstr>
      <vt:lpstr>Table_APS</vt:lpstr>
      <vt:lpstr>Table_ASHC</vt:lpstr>
      <vt:lpstr>Table_ChillerFactors</vt:lpstr>
      <vt:lpstr>Table_Chillers</vt:lpstr>
      <vt:lpstr>Table_CombinationOven</vt:lpstr>
      <vt:lpstr>Table_ConvectionOven</vt:lpstr>
      <vt:lpstr>Table_CustomMeasureNames</vt:lpstr>
      <vt:lpstr>Table_Dishwashers</vt:lpstr>
      <vt:lpstr>Table_DuctSealing</vt:lpstr>
      <vt:lpstr>Table_ECMHVACFan</vt:lpstr>
      <vt:lpstr>Table_ECMRefrFan</vt:lpstr>
      <vt:lpstr>Table_EFLH</vt:lpstr>
      <vt:lpstr>Table_ESRefrigerators</vt:lpstr>
      <vt:lpstr>Table_EvapFanControls</vt:lpstr>
      <vt:lpstr>Table_GREM</vt:lpstr>
      <vt:lpstr>Table_IceMaker</vt:lpstr>
      <vt:lpstr>Table_MeasureNumbers</vt:lpstr>
      <vt:lpstr>Table_Measures</vt:lpstr>
      <vt:lpstr>Table_NightCovers</vt:lpstr>
      <vt:lpstr>Table_PCPowerMgmt</vt:lpstr>
      <vt:lpstr>Table_PRSV</vt:lpstr>
      <vt:lpstr>Table_RTUAC</vt:lpstr>
      <vt:lpstr>Table_RTUFactors</vt:lpstr>
      <vt:lpstr>Table_RTUHP</vt:lpstr>
      <vt:lpstr>Table_Showerhead</vt:lpstr>
      <vt:lpstr>Table_SteamCooker</vt:lpstr>
      <vt:lpstr>Table_StripCurtains</vt:lpstr>
      <vt:lpstr>Table_VendingMiser</vt:lpstr>
      <vt:lpstr>Total_ProjectCost</vt:lpstr>
      <vt:lpstr>Value_CalcVersion</vt:lpstr>
      <vt:lpstr>Value_Max_Incentive</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Kurtz, Spencer</cp:lastModifiedBy>
  <cp:revision/>
  <cp:lastPrinted>2022-12-13T17:45:02Z</cp:lastPrinted>
  <dcterms:created xsi:type="dcterms:W3CDTF">2017-02-21T18:38:33Z</dcterms:created>
  <dcterms:modified xsi:type="dcterms:W3CDTF">2025-01-08T20:12:57Z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0x01010031BE389EA3527F41A12B5160341A5618</vt:lpwstr>
  </property>
  <property fmtid="{D5CDD505-2E9C-101B-9397-08002B2CF9AE}" pid="3" name="MediaServiceImageTags">
    <vt:lpwstr/>
  </property>
</Properties>
</file>